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0"/>
  </bookViews>
  <sheets>
    <sheet name="Лист1" sheetId="1" r:id="rId1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<sst xmlns="http://schemas.openxmlformats.org/spreadsheetml/2006/main" count="270" uniqueCount="263">
  <si>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</si>
  <si>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Прочие поступления от использования имущества, находящегося в собственности субъектов Российской Федерации</t>
  </si>
  <si>
    <t>Платежи при пользовании недрами</t>
  </si>
  <si>
    <t>Доходы от продажи нематериальных активов, находящихся в собственности субъектов Российской Федерации</t>
  </si>
  <si>
    <t>000 1 11 08042 02 0000 120</t>
  </si>
  <si>
    <t>000 1 12 02000 01 0000 120</t>
  </si>
  <si>
    <t>000 1 14 04000 00 0000 000</t>
  </si>
  <si>
    <t>000 1 18 00000 00 0000 000</t>
  </si>
  <si>
    <t>000 1 19 00000 00 0000 000</t>
  </si>
  <si>
    <t>000 1 00 00000 00 0000 000</t>
  </si>
  <si>
    <t>Доходы</t>
  </si>
  <si>
    <t xml:space="preserve">182 1 01 00000 00 0000 000 </t>
  </si>
  <si>
    <t>Налоги на прибыль, доходы</t>
  </si>
  <si>
    <t xml:space="preserve">182 1 01 01000 00 0000 110 </t>
  </si>
  <si>
    <t>Налог на прибыль организаций</t>
  </si>
  <si>
    <t>182 1 01 01012 02 0000 110</t>
  </si>
  <si>
    <t>182 1 01 02000 01 0000 110</t>
  </si>
  <si>
    <t>Налог на доходы физических лиц</t>
  </si>
  <si>
    <t>182 1 03 00000 00 0000 000</t>
  </si>
  <si>
    <t>182 1 03 02000 01 0000 110</t>
  </si>
  <si>
    <t xml:space="preserve">182 1 05 00000 00 0000 000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</si>
  <si>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</si>
  <si>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</si>
  <si>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182 1 06 00000 00 0000 000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</si>
  <si>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</si>
  <si>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</si>
  <si>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</si>
  <si>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</si>
  <si>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</si>
  <si>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Налог на игорный бизнес</t>
  </si>
  <si>
    <t>182 1 07 00000 00 0000 000</t>
  </si>
  <si>
    <t>Налоги, сборы и регулярные платежи за пользование природными ресурсами</t>
  </si>
  <si>
    <t>182 1 09 04030 01 0000 110</t>
  </si>
  <si>
    <t>Налог на пользователей автомобильных дорог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</si>
  <si>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</si>
  <si>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</si>
  <si>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</si>
  <si>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</si>
  <si>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</si>
  <si>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</si>
  <si>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</si>
  <si>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</si>
  <si>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</si>
  <si>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</si>
  <si>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</si>
  <si>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000 1 13 00000 00 0000 000</t>
  </si>
  <si>
    <t>Доходы от оказания платных услуг и компенсации затрат государства</t>
  </si>
  <si>
    <t>Всего доходов</t>
  </si>
  <si>
    <t>Безвозмездные поступления</t>
  </si>
  <si>
    <t>000 1 08 00000 00 0000 000</t>
  </si>
  <si>
    <t>000 1 11 05000 00 0000 120</t>
  </si>
  <si>
    <t>000 1 14 00000 00 0000 000</t>
  </si>
  <si>
    <t>Доходы от продажи материальных и нематериальных активов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</si>
  <si>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</si>
  <si>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 бюджетов субъектов Российской Федерации</t>
  </si>
  <si>
    <t>000 1 17 05020 02 0000 180</t>
  </si>
  <si>
    <t>1 11 07000 00 0000 120</t>
  </si>
  <si>
    <t>Платежи от государственных и муниципальных предприятий</t>
  </si>
  <si>
    <t>Доходы от реализации имущества, находящегося в государственной и муниципальной собственности</t>
  </si>
  <si>
    <t>182 1 09 00000 00 0000 000</t>
  </si>
  <si>
    <t>000 2 00 00000 00 0000 000</t>
  </si>
  <si>
    <t>Код бюджетной классификации РФ</t>
  </si>
  <si>
    <t>911 1 11 01020 02 0000 120</t>
  </si>
  <si>
    <t>906 1 11 03020 02 0000 120</t>
  </si>
  <si>
    <t>911 1 11 05032 02 0000 120</t>
  </si>
  <si>
    <t>911 1 11 07012 02 0000 120</t>
  </si>
  <si>
    <t>906 2 02 00000 00 0000 000</t>
  </si>
  <si>
    <t>000 1 15 00000 00 0000 000</t>
  </si>
  <si>
    <t>Административные платежи и сборы</t>
  </si>
  <si>
    <t>905 1 15 02020 02 0000 140</t>
  </si>
  <si>
    <t>Наименование доходов</t>
  </si>
  <si>
    <t>906 2 07 02000 02 0000 180</t>
  </si>
  <si>
    <t>Прочие безвозмездные поступления в бюджеты субъектов Российской Федерации</t>
  </si>
  <si>
    <t>Сбор за пользование объектами животного мира</t>
  </si>
  <si>
    <t>182 1 09 04010 02 0000 110</t>
  </si>
  <si>
    <t>Налог на имущество предприятий</t>
  </si>
  <si>
    <t>Государственная пошлина за государственную регистрацию, а также за совершение прочих юридически значимых действий</t>
  </si>
  <si>
    <t>182 1 07 04010 01 0000 110</t>
  </si>
  <si>
    <t>000 1 08 07000 01 0000 110</t>
  </si>
  <si>
    <t>932 1 13 03020 02 0000 130</t>
  </si>
  <si>
    <t>Налог на прибыль организаций, зачисляемый в бюджеты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</si>
  <si>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</si>
  <si>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</si>
  <si>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</si>
  <si>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</si>
  <si>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</si>
  <si>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</si>
  <si>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Платежи, взимаемые государственными организациями субъектов Российской Федерации за выполнение определенных функций</t>
  </si>
  <si>
    <t>Платежи за пользование лесным фондом и лесами иных категорий</t>
  </si>
  <si>
    <t>000 1 16 90020 02 0000 140</t>
  </si>
  <si>
    <t>182 1 06 05000 02 0000 110</t>
  </si>
  <si>
    <t>План  (тыс.руб.)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</si>
  <si>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</si>
  <si>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</si>
  <si>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911 1 14 02000 00 0000 000</t>
  </si>
  <si>
    <t>Безвозмездные поступления от других бюджетов бюджетной системы Российской Федерации</t>
  </si>
  <si>
    <t>182 1 05 01000 00 0000 110</t>
  </si>
  <si>
    <t>Волкова</t>
  </si>
  <si>
    <t>Запруднова</t>
  </si>
  <si>
    <t>АПК</t>
  </si>
  <si>
    <t>Н/Х</t>
  </si>
  <si>
    <t>Канцырев</t>
  </si>
  <si>
    <t>итого</t>
  </si>
  <si>
    <t>Поправки</t>
  </si>
  <si>
    <t>Дор. фонд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</si>
  <si>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  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</si>
  <si>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</si>
  <si>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Итого</t>
  </si>
  <si>
    <t>Местное</t>
  </si>
  <si>
    <t>уточнение</t>
  </si>
  <si>
    <t xml:space="preserve">922 1 13 02021 02 0000 130  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</si>
  <si>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</si>
  <si>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000 1 11 05011 04 0000 120</t>
  </si>
  <si>
    <t>936 1 12 04000 00 0000 120</t>
  </si>
  <si>
    <t>Субвенции бюджетам субъектов Российской Федерации</t>
  </si>
  <si>
    <t>906 2 02 02002 02 0000 151</t>
  </si>
  <si>
    <t>906 2 02 02004 02 0000 151</t>
  </si>
  <si>
    <t>906 2 02 02005 02 0000 151</t>
  </si>
  <si>
    <t>906 2 02 02006 02 0000 151</t>
  </si>
  <si>
    <t>906 2 02 02007 02 0000 151</t>
  </si>
  <si>
    <t>906 2 02 02008 02 0000 151</t>
  </si>
  <si>
    <t>906 2 02 02009 02 0000 151</t>
  </si>
  <si>
    <t>906 2 02 02013 02 0000 151</t>
  </si>
  <si>
    <t>906 2 02 02014 02 0000 151</t>
  </si>
  <si>
    <t>906 2 02 02015 02 0000 151</t>
  </si>
  <si>
    <t>906 2 02 02019 02 0000 151</t>
  </si>
  <si>
    <t>906 2 02 02020 02 0000 151</t>
  </si>
  <si>
    <t>906 2 02 02023 02 0000 151</t>
  </si>
  <si>
    <t>906 2 02 02024 02 0000 151</t>
  </si>
  <si>
    <t>906 2 02 02025 02 0000 151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</si>
  <si>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</si>
  <si>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906 2 02 02034 02 0000 151</t>
  </si>
  <si>
    <t>Субвенции бюджетам субъектов Российской Федерации на реализацию отдельных полномочий в области лесного хозяйства</t>
  </si>
  <si>
    <t>906 2 02 02035 02 0000 151</t>
  </si>
  <si>
    <t>906 2 02 02038 02 0000 151</t>
  </si>
  <si>
    <t>Субвенции бюджетам субъектов Российской Федерации на выплату единовременных пособий при всех формах устройства детей, лишенных родительского попечения, в семью</t>
  </si>
  <si>
    <t>906 2 02 02044 02 0000 151</t>
  </si>
  <si>
    <t>906 2 020 2048 02 0000 151</t>
  </si>
  <si>
    <t xml:space="preserve">Прочие субвенции </t>
  </si>
  <si>
    <t>906 2 02 03999 02 0000 151</t>
  </si>
  <si>
    <t>Прочие субвенции бюджетам субъектов Российской Федерации</t>
  </si>
  <si>
    <t>000 2 02 04000 00 0000 000</t>
  </si>
  <si>
    <t>Субсидии от других бюджетов бюджетной системы Российской Федерации</t>
  </si>
  <si>
    <t>906 2 02 04001 02 0000 151</t>
  </si>
  <si>
    <t xml:space="preserve">Субсидии бюджетам субъектов Российской Федерации на частичное возмещение расходов на выплату ежемесячного пособия на ребенка
</t>
  </si>
  <si>
    <t>906 2 02 04005 02 0000 151</t>
  </si>
  <si>
    <t>906 2 02 04006 02 0000 151</t>
  </si>
  <si>
    <t>906 2 02 04007 02 0000 151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</si>
  <si>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</si>
  <si>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906 2 02 04008 02 0000 151</t>
  </si>
  <si>
    <t>906 2 02 04012 02 0000 151</t>
  </si>
  <si>
    <t>906 2 02 04016 02 0000 151</t>
  </si>
  <si>
    <t>Субсидии бюджетам субъектов Российской Федерации на компенсацию части затрат на приобретение средств химизации</t>
  </si>
  <si>
    <t>906 2 02 04017 02 0000 151</t>
  </si>
  <si>
    <t>906 2 02 04021 02 0000 151</t>
  </si>
  <si>
    <t>906 2 02 04022 02 0000 151</t>
  </si>
  <si>
    <t>906 2 0 204024 02 0000 151</t>
  </si>
  <si>
    <t>906 2 02 04025 02 0000 151</t>
  </si>
  <si>
    <t>Субсидии бюджетам субъектов Российской Федерации на дизельное топливо, использованное на проведение сезонных сельскохозяйственных работ</t>
  </si>
  <si>
    <t>906 2 02 04026 02 0000 151</t>
  </si>
  <si>
    <t>906 2 02 04027 02 0000 151</t>
  </si>
  <si>
    <t>906 2 02  04028 02 0000 151</t>
  </si>
  <si>
    <t>Субсидии бюджетам субъектов Российской Федерации на модернизацию объектов коммунальной инфраструктуры</t>
  </si>
  <si>
    <t>906 2 02 04029 02 0000 151</t>
  </si>
  <si>
    <t>906 2 02 04032 02 0000 151</t>
  </si>
  <si>
    <t>906 2 02 04033 02 0000 151</t>
  </si>
  <si>
    <t>Субсидии бюджетам субъектов Российской Федерации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</si>
  <si>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906 2 02 04036 02 0000 151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</si>
  <si>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</si>
  <si>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906 2 02 04037 02 0000 151</t>
  </si>
  <si>
    <t>906 2 02 04039 02 0000 151</t>
  </si>
  <si>
    <t>906 2 02 04040 02 0000 151</t>
  </si>
  <si>
    <t>906 2 02 04044 02 0000 151</t>
  </si>
  <si>
    <t>Субсидии бюджетам субъектов  Российской Федерации на обеспечение автомобильными дорогами  новых  микрорайонов  массовой малоэтажной и многоквартирной застройки</t>
  </si>
  <si>
    <t>906 2 02 04045 02 0000 151</t>
  </si>
  <si>
    <t>906 2 02 04049 02 0000 151</t>
  </si>
  <si>
    <t>906 2 02 04050 02 0000 151</t>
  </si>
  <si>
    <t>Субсидии бюджетам субъектов Российской Федерации на государственную поддержку подготовки рабочих кадров и специалистов для высокотехнологичных производств</t>
  </si>
  <si>
    <t>906 2 02 04051 02 0000 151</t>
  </si>
  <si>
    <t>Субсидии бюджетам субъектов Российской Федерации на реализацию мероприятий федеральных целевых программ</t>
  </si>
  <si>
    <t>906 2 02 04052 02 0000151</t>
  </si>
  <si>
    <t>906 2 02 04053 02 0000 151</t>
  </si>
  <si>
    <t>906 2 02 04054 02 0000 151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</si>
  <si>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</si>
  <si>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906 2 02 04055 02 0000 151</t>
  </si>
  <si>
    <t>906 2 02 04058 02 0000 151</t>
  </si>
  <si>
    <t>906 2 02 04999 02 0000 151</t>
  </si>
  <si>
    <t>Прочие  субсидии   бюджетам   субъектов Российской Федерации</t>
  </si>
  <si>
    <t>000 2 02 03999 00 0000 151</t>
  </si>
  <si>
    <t>000 2 02 02000 02 0000 000</t>
  </si>
  <si>
    <t>Приложение 1</t>
  </si>
  <si>
    <t>906 2 02 04041 02 0000 151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</si>
  <si>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</si>
  <si>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на поддержку элитного семеноводства</t>
  </si>
  <si>
    <t>Субсидии бюджетам субъектов Российской Федерации на компенсацию части затрат по страхованию урожая сельскохозяйственных культур и многолетних насаждений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</si>
  <si>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</si>
  <si>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Субсидии бюджетам субъектов Российской Федерации на внедрение инновационных образовательных программ в государственных и муниципальных общеобразовательных школах
</t>
  </si>
  <si>
    <t xml:space="preserve"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
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</si>
  <si>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на развитие малых форм хозяйствования в агропромышленном комплексе</t>
  </si>
  <si>
    <t xml:space="preserve">Субсидии бюджетам субъектов Российской Федерации на содержание ребенка в семье опекуна и приемной семье, а также на выплату заработной платы приемному родителю
</t>
  </si>
  <si>
    <t xml:space="preserve">Субсидии бюджетам субъектов Российской Федерации на ежемесячное денежное вознаграждение за классное руководство
</t>
  </si>
  <si>
    <t xml:space="preserve">Субсидии бюджетам субъектов Российской Федерации на возмещение части затрат на уплату процентов по кредитам, полученным на срок до пяти лет в российских кредитных организациях на приобретение племенного скота, племенного материала рыб, техники и оборудования для животноводческих комплексов и организаций, осуществляющих промышленное рыбоводство
</t>
  </si>
  <si>
    <t xml:space="preserve">Субсидии бюджетам субъектов Российской Федерации на частичное возмещение расходов бюджетов по осуществлению мер социальной поддержки ветеранов труда и тружеников тыла
</t>
  </si>
  <si>
    <t xml:space="preserve">Субсидии бюджетам субъектов Российской Федерации на непрограммные инвестиции в основные фонды
</t>
  </si>
  <si>
    <t>Субсидии  бюджетам субъектов Российской Федерации на возмещение части затрат на уплату       процентов по кредитам, полученным на срок до одного года в российских кредитных организациях</t>
  </si>
  <si>
    <t>Субсидии бюджетам  субъектов Российской  Федерации  на  проведение капитального  ремонта многоквартирных домов и переселение   граждан из аварийного жилищного фонда</t>
  </si>
  <si>
    <t xml:space="preserve">Субвенции бюджетам субъектов Российской Федерации на оплату жилищно-коммунальных услуг отдельным категориям граждан
</t>
  </si>
  <si>
    <t xml:space="preserve">Субвенции бюджетам субъектов Российской Федерации на осуществление федеральных полномочий по государственной регистрации актов гражданского состояния
</t>
  </si>
  <si>
    <t xml:space="preserve"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
</t>
  </si>
  <si>
    <t xml:space="preserve">Субвенции бюджетам субъектов Российской Федерации на реализацию полномочий в области организации, регулирования и охраны водных биологических ресурсов
</t>
  </si>
  <si>
    <t xml:space="preserve">Субвенции бюджетам субъектов Российской Федерации на реализацию полномочий в области охраны и использования объектов животного мира, отнесенных к объектам охоты
</t>
  </si>
  <si>
    <t>Субвенции бюджетам субъектов Российской Федерации на обеспечение равной доступности услуг общественного транспорта на территории соответствующего субъекта для отдельных категорий граждан, оказание мер социальной поддержки которых относится к ведению Российской Федерации</t>
  </si>
  <si>
    <t>Субвенции бюджетам субъектов Российской Федерации на осуществление мероприятий, связанных с перевозкой между субъектами Российской Федерации, а также в пределах территорий государств - участников СНГ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</si>
  <si>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субъектов Российской Федерации на осуществление полномочий по выплате государственных единовременных пособий и ежемесячных денежных компенсаций гражданам при возникновении поствакцинальных осложнений</t>
  </si>
  <si>
    <t>Субсидии бюджетам субъектов Российской Федерации на предоставление субсидий молодым семьям для приобретения жилья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</si>
  <si>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</si>
  <si>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Субсидии бюджетам субъектов Российской Федерации на развитие улично-дорожной сети  в  городах (поселках  городского типа)</t>
  </si>
  <si>
    <t xml:space="preserve">Субвенции бюджетам субъектов Российской Федерации на реализацию полномочий по осуществлению выплат инвалидам компенсаций страховых премий по договору обязательного страхования гражданской ответственности владельцев транспортных средств
</t>
  </si>
  <si>
    <t xml:space="preserve">Субвенции бюджетам субъектов Российской Федерации на поощрение лучших учителей
</t>
  </si>
  <si>
    <t xml:space="preserve">Субвенции бюджетам субъектов Российской Федерации на осуществление полномочий по первичному воинскому учету на территориях, где отсутствуют военные комиссариаты
</t>
  </si>
  <si>
    <t xml:space="preserve">Субвенции бюджетам субъектов Российской Федерации на обеспечение жильем отдельных категорий граждан
</t>
  </si>
  <si>
    <t xml:space="preserve">Субвенции бюджетам субъектов Российской Федерации на цели равного с федеральной противопожарной службой повышения денежного довольствия сотрудникам и заработной платы работникам территориальных подразделений, содержащихся за счет средств бюджетов субъектов Российской Федерации (за исключением подразделений, созданных в субъектах Российской Федерации в соответствии со статьей 5 Федерального закона от 21 декабря 1994 года          № 69-ФЗ "О пожарной безопасности")
</t>
  </si>
  <si>
    <t xml:space="preserve">Субвенции бюджетам субъектов Российской Федерации на осуществление отдельных полномочий в области водных отношений
</t>
  </si>
  <si>
    <t xml:space="preserve">Субвенции бюджетам субъектов Российской Федерации на осуществление полномочий по реализации государственной политики занятости населения, включая расходы на администрирование этих полномочий
</t>
  </si>
  <si>
    <t xml:space="preserve">Субсидии бюджетам субъектов Российской Федерации на мероприятия по организации оздоровительной кампании детей
</t>
  </si>
  <si>
    <t xml:space="preserve">Субсидии бюджетам субъектов Российской Федерации на частичное возмещение расходов бюджетов по предоставлению мер социальной поддержки реабилитированных лиц и лиц, признанных пострадавшими от политических репрессий
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</si>
  <si>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(кроме видов расходов 330, 331 и 413)</t>
  </si>
  <si>
    <t>Субсидии бюджетам субъектов Российской Федерации на поддержку племенного животноводства</t>
  </si>
  <si>
    <t xml:space="preserve">Субвенции бюджетам субъектов Российской Федерации на цели равного с Министерством внутренних дел Российской Федерации повышения денежного довольствия сотрудникам и заработной платы работникам территориальных подразделений милиции общественной безопасности, содержащихся за счет средств бюджетов субъектов Российской Федерации и местных бюджетов
</t>
  </si>
  <si>
    <t>Уточнение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</si>
  <si>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развитие животноводства и  промышленного рыбоводства</t>
  </si>
  <si>
    <t>Субвенции бюджетам субъектов Российской Федерации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</t>
  </si>
  <si>
    <t xml:space="preserve">906 2 02 04047 02 0000 151 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</si>
  <si>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</si>
  <si>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906 2 02 09000 00 0000 151</t>
  </si>
  <si>
    <t>Прочие безвозмездные поступления от других бюджетов бюджетной системы</t>
  </si>
  <si>
    <t>2 02 09042 02 0000 151</t>
  </si>
  <si>
    <t>Прочие безвозмездные поступления в бюджеты субъектов Российской Федерации от бюджетов городских округов</t>
  </si>
  <si>
    <t>906 2 02 04030 02 0000 151</t>
  </si>
  <si>
    <t>Субсидии бюджетам субъектов Российской Федерации на возмещение части затрат на уплату процентов по кредитам, полученным в российских кредитных организациях на обеспечение земельных участков под жилищное строительство коммунальной инфраструктурой</t>
  </si>
  <si>
    <t>906 2 02 04031 02 0000 151</t>
  </si>
  <si>
    <t>Субсидии бюджетам субъектов Российской Федерации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</si>
  <si>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906 2 02 04009 02 0000 151</t>
  </si>
  <si>
    <t>Субсидии бюджетам субъектов Российской Федерации на государственную поддержку малого предпринимательства</t>
  </si>
  <si>
    <t>906 2 02 04014 02 0000 151</t>
  </si>
  <si>
    <t>Субсидии бюджетам субъектов Российской Федерации на поддержку производства льна и конопли</t>
  </si>
  <si>
    <t>бюд.</t>
  </si>
  <si>
    <t>2 02 09011 02 0000 151</t>
  </si>
  <si>
    <t>Прочие безвозмездные поступления в бюджеты субъектов Российской Федерации от федерального бюджета</t>
  </si>
  <si>
    <t>Процент исполнения</t>
  </si>
  <si>
    <t xml:space="preserve"> Исполнение доходов областного бюджета за 2007 год в соответствии                                                                                    с классификацией доходов бюджетов Российской Федерации</t>
  </si>
  <si>
    <t xml:space="preserve">Единый сельскохозяйственный налог </t>
  </si>
  <si>
    <t>000 1 05 03000 01 0000 110</t>
  </si>
  <si>
    <t>906  2 02 04062 02 0000 151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</si>
  <si>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средствами, предназначенными для лечения  больных гемофилией, муковисцидозом, гипофизарным нанизмом, болезнью Гоше, миелолейкозом, рассеянным склерозом, а также после трансплантации органов и (или) тканей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</si>
  <si>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</si>
  <si>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</t>
  </si>
  <si>
    <t>000 1 11 05022 02 0000 120</t>
  </si>
  <si>
    <t>000 1 09 06000 02 0000 110</t>
  </si>
  <si>
    <t>Прочие налоги и сборы (по отмененным налогам и сборам субъектов Российской Федерации)</t>
  </si>
  <si>
    <t>Исполнено  (тыс.руб.)</t>
  </si>
  <si>
    <t>к Закону Ярославской области</t>
  </si>
  <si>
    <t>от 03.07.2008  № 29-з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</si>
</sst>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Arial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18" applyNumberFormat="1" applyFont="1" applyFill="1" applyBorder="1" applyAlignment="1" applyProtection="1">
      <alignment horizontal="left" vertical="top" wrapText="1"/>
      <protection hidden="1"/>
    </xf>
    <xf numFmtId="0" fontId="11" fillId="0" borderId="1" xfId="18" applyNumberFormat="1" applyFont="1" applyFill="1" applyBorder="1" applyAlignment="1" applyProtection="1">
      <alignment horizontal="left" wrapText="1"/>
      <protection hidden="1"/>
    </xf>
    <xf numFmtId="3" fontId="11" fillId="0" borderId="1" xfId="0" applyNumberFormat="1" applyFont="1" applyFill="1" applyBorder="1" applyAlignment="1">
      <alignment wrapText="1"/>
    </xf>
    <xf numFmtId="0" fontId="9" fillId="0" borderId="1" xfId="18" applyNumberFormat="1" applyFont="1" applyFill="1" applyBorder="1" applyAlignment="1" applyProtection="1">
      <alignment horizontal="left" vertical="top" wrapText="1"/>
      <protection hidden="1"/>
    </xf>
    <xf numFmtId="3" fontId="9" fillId="0" borderId="1" xfId="18" applyNumberFormat="1" applyFont="1" applyFill="1" applyBorder="1" applyAlignment="1" applyProtection="1">
      <alignment horizontal="right" vertical="top" wrapText="1"/>
      <protection hidden="1"/>
    </xf>
    <xf numFmtId="3" fontId="11" fillId="0" borderId="1" xfId="18" applyNumberFormat="1" applyFont="1" applyFill="1" applyBorder="1" applyAlignment="1" applyProtection="1">
      <alignment horizontal="right" vertical="top" wrapText="1"/>
      <protection hidden="1"/>
    </xf>
    <xf numFmtId="3" fontId="1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3" fontId="12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9" fillId="0" borderId="1" xfId="18" applyNumberFormat="1" applyFont="1" applyFill="1" applyBorder="1" applyAlignment="1" applyProtection="1">
      <alignment horizontal="right" wrapText="1"/>
      <protection hidden="1"/>
    </xf>
    <xf numFmtId="3" fontId="11" fillId="0" borderId="1" xfId="18" applyNumberFormat="1" applyFont="1" applyFill="1" applyBorder="1" applyAlignment="1" applyProtection="1">
      <alignment horizontal="right" wrapText="1"/>
      <protection hidden="1"/>
    </xf>
    <xf numFmtId="3" fontId="9" fillId="2" borderId="1" xfId="18" applyNumberFormat="1" applyFont="1" applyFill="1" applyBorder="1" applyAlignment="1" applyProtection="1">
      <alignment horizontal="right" wrapText="1"/>
      <protection hidden="1"/>
    </xf>
    <xf numFmtId="9" fontId="1" fillId="0" borderId="1" xfId="20" applyFont="1" applyFill="1" applyBorder="1" applyAlignment="1">
      <alignment/>
    </xf>
    <xf numFmtId="9" fontId="2" fillId="0" borderId="1" xfId="20" applyFont="1" applyFill="1" applyBorder="1" applyAlignment="1">
      <alignment wrapText="1"/>
    </xf>
    <xf numFmtId="9" fontId="3" fillId="0" borderId="1" xfId="20" applyFont="1" applyFill="1" applyBorder="1" applyAlignment="1">
      <alignment wrapText="1"/>
    </xf>
    <xf numFmtId="9" fontId="9" fillId="0" borderId="1" xfId="20" applyFont="1" applyFill="1" applyBorder="1" applyAlignment="1">
      <alignment/>
    </xf>
    <xf numFmtId="9" fontId="10" fillId="0" borderId="1" xfId="20" applyFont="1" applyFill="1" applyBorder="1" applyAlignment="1">
      <alignment wrapText="1"/>
    </xf>
    <xf numFmtId="9" fontId="8" fillId="0" borderId="1" xfId="20" applyFont="1" applyFill="1" applyBorder="1" applyAlignment="1">
      <alignment/>
    </xf>
    <xf numFmtId="9" fontId="8" fillId="0" borderId="1" xfId="20" applyFont="1" applyFill="1" applyBorder="1" applyAlignment="1">
      <alignment wrapText="1"/>
    </xf>
    <xf numFmtId="9" fontId="11" fillId="0" borderId="1" xfId="20" applyFont="1" applyFill="1" applyBorder="1" applyAlignment="1">
      <alignment wrapText="1"/>
    </xf>
    <xf numFmtId="9" fontId="11" fillId="0" borderId="1" xfId="20" applyFont="1" applyFill="1" applyBorder="1" applyAlignment="1" applyProtection="1">
      <alignment horizontal="right" vertical="top" wrapText="1"/>
      <protection hidden="1"/>
    </xf>
    <xf numFmtId="9" fontId="12" fillId="0" borderId="1" xfId="2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4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SheetLayoutView="100" workbookViewId="0" topLeftCell="A1">
      <selection activeCell="B7" sqref="B7"/>
    </sheetView>
  </sheetViews>
  <sheetFormatPr defaultColWidth="9.00390625" defaultRowHeight="12.75"/>
  <cols>
    <col min="1" max="1" width="27.875" style="3" customWidth="1"/>
    <col min="2" max="2" width="50.125" style="3" customWidth="1"/>
    <col min="3" max="3" width="11.25390625" style="3" hidden="1" customWidth="1"/>
    <col min="4" max="4" width="10.625" style="3" hidden="1" customWidth="1"/>
    <col min="5" max="5" width="11.125" style="3" hidden="1" customWidth="1"/>
    <col min="6" max="6" width="10.625" style="3" hidden="1" customWidth="1"/>
    <col min="7" max="7" width="11.25390625" style="3" hidden="1" customWidth="1"/>
    <col min="8" max="8" width="2.125" style="3" hidden="1" customWidth="1"/>
    <col min="9" max="9" width="11.25390625" style="3" hidden="1" customWidth="1"/>
    <col min="10" max="10" width="11.75390625" style="3" hidden="1" customWidth="1"/>
    <col min="11" max="11" width="11.25390625" style="3" hidden="1" customWidth="1"/>
    <col min="12" max="12" width="11.125" style="41" hidden="1" customWidth="1"/>
    <col min="13" max="13" width="11.625" style="3" hidden="1" customWidth="1"/>
    <col min="14" max="14" width="12.25390625" style="3" customWidth="1"/>
    <col min="15" max="15" width="13.125" style="3" hidden="1" customWidth="1"/>
    <col min="16" max="16384" width="9.125" style="3" customWidth="1"/>
  </cols>
  <sheetData>
    <row r="1" spans="1:15" ht="15.75">
      <c r="A1" s="70" t="s">
        <v>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5.75">
      <c r="A2" s="70" t="s">
        <v>261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>
      <c r="A3" s="70" t="s">
        <v>262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ht="15.75">
      <c r="A4" s="1"/>
    </row>
    <row r="5" ht="15.75">
      <c r="A5" s="1"/>
    </row>
    <row r="6" spans="1:15" ht="59.25" customHeight="1">
      <c r="A6" s="71" t="s">
        <v>250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34.5" customHeight="1">
      <c r="A7" s="4" t="s">
        <v>61</v>
      </c>
      <c r="B7" s="61" t="s">
        <v>70</v>
      </c>
      <c r="C7" s="4" t="s">
        <v>91</v>
      </c>
      <c r="D7" s="4" t="s">
        <v>103</v>
      </c>
      <c r="E7" s="4" t="s">
        <v>91</v>
      </c>
      <c r="F7" s="4" t="s">
        <v>103</v>
      </c>
      <c r="G7" s="4" t="s">
        <v>91</v>
      </c>
      <c r="H7" s="5" t="s">
        <v>109</v>
      </c>
      <c r="I7" s="4" t="s">
        <v>91</v>
      </c>
      <c r="J7" s="4" t="s">
        <v>229</v>
      </c>
      <c r="K7" s="4" t="s">
        <v>91</v>
      </c>
      <c r="L7" s="42" t="s">
        <v>109</v>
      </c>
      <c r="M7" s="4" t="s">
        <v>91</v>
      </c>
      <c r="N7" s="4" t="s">
        <v>260</v>
      </c>
      <c r="O7" s="4" t="s">
        <v>249</v>
      </c>
    </row>
    <row r="8" spans="1:15" ht="19.5" customHeight="1">
      <c r="A8" s="6" t="s">
        <v>9</v>
      </c>
      <c r="B8" s="62" t="s">
        <v>10</v>
      </c>
      <c r="C8" s="2">
        <f aca="true" t="shared" si="0" ref="C8:H8">C9+C13+C15+C18+C22+C24+C26+C30+C40+C52+C54+C44+C47+C50</f>
        <v>16029210</v>
      </c>
      <c r="D8" s="2">
        <f t="shared" si="0"/>
        <v>972000</v>
      </c>
      <c r="E8" s="2">
        <f t="shared" si="0"/>
        <v>17001210</v>
      </c>
      <c r="F8" s="2">
        <f t="shared" si="0"/>
        <v>0</v>
      </c>
      <c r="G8" s="2">
        <f t="shared" si="0"/>
        <v>17001210</v>
      </c>
      <c r="H8" s="2">
        <f t="shared" si="0"/>
        <v>469113</v>
      </c>
      <c r="I8" s="2">
        <f>I9+I13+I15+I18+I22+I24+I26+I30+I40+I52+I54+I44+I47+I50</f>
        <v>17559123</v>
      </c>
      <c r="J8" s="2">
        <f>J9+J13+J15+J18+J22+J24+J26+J30+J40+J52+J54+J44+J47+J50</f>
        <v>114613</v>
      </c>
      <c r="K8" s="2">
        <f>K9+K13+K15+K18+K22+K24+K26+K30+K40+K52+K54+K44+K47+K50</f>
        <v>17673736</v>
      </c>
      <c r="L8" s="2">
        <f>L9+L13+L15+L18+L22+L24+L26+L30+L40+L52+L54+L44+L47+L50</f>
        <v>0</v>
      </c>
      <c r="M8" s="2">
        <f aca="true" t="shared" si="1" ref="M8:M58">K8+L8</f>
        <v>17673736</v>
      </c>
      <c r="N8" s="2">
        <f>N9+N13+N15+N18+N22+N24+N26+N30+N40+N52+N54+N44+N47+N50+N56+N57</f>
        <v>17674768.540000003</v>
      </c>
      <c r="O8" s="50">
        <f>N8/M8</f>
        <v>1.000058422282646</v>
      </c>
    </row>
    <row r="9" spans="1:15" ht="21.75" customHeight="1">
      <c r="A9" s="6" t="s">
        <v>11</v>
      </c>
      <c r="B9" s="62" t="s">
        <v>12</v>
      </c>
      <c r="C9" s="2">
        <f aca="true" t="shared" si="2" ref="C9:K9">C10+C12</f>
        <v>10555665</v>
      </c>
      <c r="D9" s="2">
        <f t="shared" si="2"/>
        <v>610000</v>
      </c>
      <c r="E9" s="2">
        <f t="shared" si="2"/>
        <v>11165665</v>
      </c>
      <c r="F9" s="2">
        <f t="shared" si="2"/>
        <v>0</v>
      </c>
      <c r="G9" s="2">
        <f t="shared" si="2"/>
        <v>11165665</v>
      </c>
      <c r="H9" s="2">
        <f t="shared" si="2"/>
        <v>0</v>
      </c>
      <c r="I9" s="2">
        <f t="shared" si="2"/>
        <v>11165665</v>
      </c>
      <c r="J9" s="2">
        <f t="shared" si="2"/>
        <v>0</v>
      </c>
      <c r="K9" s="2">
        <f t="shared" si="2"/>
        <v>11165665</v>
      </c>
      <c r="L9" s="2">
        <f>L10+L12</f>
        <v>0</v>
      </c>
      <c r="M9" s="2">
        <f t="shared" si="1"/>
        <v>11165665</v>
      </c>
      <c r="N9" s="2">
        <f>N10+N12</f>
        <v>11023160.690000001</v>
      </c>
      <c r="O9" s="50">
        <f aca="true" t="shared" si="3" ref="O9:O80">N9/M9</f>
        <v>0.9872372751645335</v>
      </c>
    </row>
    <row r="10" spans="1:15" ht="19.5" customHeight="1">
      <c r="A10" s="7" t="s">
        <v>13</v>
      </c>
      <c r="B10" s="63" t="s">
        <v>14</v>
      </c>
      <c r="C10" s="8">
        <f aca="true" t="shared" si="4" ref="C10:I10">C11</f>
        <v>6657000</v>
      </c>
      <c r="D10" s="8">
        <f t="shared" si="4"/>
        <v>510000</v>
      </c>
      <c r="E10" s="8">
        <f t="shared" si="4"/>
        <v>7167000</v>
      </c>
      <c r="F10" s="8">
        <f t="shared" si="4"/>
        <v>0</v>
      </c>
      <c r="G10" s="8">
        <f t="shared" si="4"/>
        <v>7167000</v>
      </c>
      <c r="H10" s="8">
        <f t="shared" si="4"/>
        <v>0</v>
      </c>
      <c r="I10" s="8">
        <f t="shared" si="4"/>
        <v>7167000</v>
      </c>
      <c r="J10" s="5"/>
      <c r="K10" s="11">
        <f>SUM(I10,J10)</f>
        <v>7167000</v>
      </c>
      <c r="L10" s="8">
        <f>L11</f>
        <v>0</v>
      </c>
      <c r="M10" s="8">
        <f t="shared" si="1"/>
        <v>7167000</v>
      </c>
      <c r="N10" s="8">
        <f>N11</f>
        <v>6971306.9</v>
      </c>
      <c r="O10" s="51">
        <f t="shared" si="3"/>
        <v>0.972695256034603</v>
      </c>
    </row>
    <row r="11" spans="1:15" ht="31.5">
      <c r="A11" s="9" t="s">
        <v>15</v>
      </c>
      <c r="B11" s="64" t="s">
        <v>80</v>
      </c>
      <c r="C11" s="10">
        <v>6657000</v>
      </c>
      <c r="D11" s="10">
        <v>510000</v>
      </c>
      <c r="E11" s="10">
        <f>C11+D11</f>
        <v>7167000</v>
      </c>
      <c r="F11" s="10"/>
      <c r="G11" s="10">
        <f>E11+F11</f>
        <v>7167000</v>
      </c>
      <c r="H11" s="5"/>
      <c r="I11" s="11">
        <f>G11+H11</f>
        <v>7167000</v>
      </c>
      <c r="J11" s="5"/>
      <c r="K11" s="11">
        <f>SUM(I11,J11)</f>
        <v>7167000</v>
      </c>
      <c r="L11" s="43"/>
      <c r="M11" s="11">
        <f t="shared" si="1"/>
        <v>7167000</v>
      </c>
      <c r="N11" s="11">
        <v>6971306.9</v>
      </c>
      <c r="O11" s="49">
        <f t="shared" si="3"/>
        <v>0.972695256034603</v>
      </c>
    </row>
    <row r="12" spans="1:15" s="12" customFormat="1" ht="20.25" customHeight="1">
      <c r="A12" s="25" t="s">
        <v>16</v>
      </c>
      <c r="B12" s="65" t="s">
        <v>17</v>
      </c>
      <c r="C12" s="16">
        <v>3898665</v>
      </c>
      <c r="D12" s="16">
        <v>100000</v>
      </c>
      <c r="E12" s="17">
        <f>C12+D12</f>
        <v>3998665</v>
      </c>
      <c r="F12" s="16"/>
      <c r="G12" s="17">
        <f>E12+F12</f>
        <v>3998665</v>
      </c>
      <c r="H12" s="18"/>
      <c r="I12" s="19">
        <f>G12+H12</f>
        <v>3998665</v>
      </c>
      <c r="J12" s="18"/>
      <c r="K12" s="11">
        <f>SUM(I12,J12)</f>
        <v>3998665</v>
      </c>
      <c r="L12" s="44"/>
      <c r="M12" s="19">
        <f t="shared" si="1"/>
        <v>3998665</v>
      </c>
      <c r="N12" s="19">
        <v>4051853.79</v>
      </c>
      <c r="O12" s="52">
        <f t="shared" si="3"/>
        <v>1.0133016369213226</v>
      </c>
    </row>
    <row r="13" spans="1:15" ht="32.25" customHeight="1">
      <c r="A13" s="20" t="s">
        <v>18</v>
      </c>
      <c r="B13" s="26" t="s">
        <v>81</v>
      </c>
      <c r="C13" s="21">
        <f aca="true" t="shared" si="5" ref="C13:H13">C14</f>
        <v>2343000</v>
      </c>
      <c r="D13" s="21">
        <f t="shared" si="5"/>
        <v>0</v>
      </c>
      <c r="E13" s="21">
        <f t="shared" si="5"/>
        <v>2343000</v>
      </c>
      <c r="F13" s="21">
        <f t="shared" si="5"/>
        <v>0</v>
      </c>
      <c r="G13" s="21">
        <f t="shared" si="5"/>
        <v>2343000</v>
      </c>
      <c r="H13" s="21">
        <f t="shared" si="5"/>
        <v>0</v>
      </c>
      <c r="I13" s="21">
        <f>I14</f>
        <v>2431800</v>
      </c>
      <c r="J13" s="21">
        <f>J14</f>
        <v>114613</v>
      </c>
      <c r="K13" s="21">
        <f>K14</f>
        <v>2546413</v>
      </c>
      <c r="L13" s="21">
        <f>L14</f>
        <v>0</v>
      </c>
      <c r="M13" s="21">
        <f t="shared" si="1"/>
        <v>2546413</v>
      </c>
      <c r="N13" s="21">
        <f>N14</f>
        <v>2748237.08</v>
      </c>
      <c r="O13" s="53">
        <f t="shared" si="3"/>
        <v>1.0792581878901812</v>
      </c>
    </row>
    <row r="14" spans="1:15" s="12" customFormat="1" ht="47.25">
      <c r="A14" s="15" t="s">
        <v>19</v>
      </c>
      <c r="B14" s="28" t="s">
        <v>82</v>
      </c>
      <c r="C14" s="16">
        <v>2343000</v>
      </c>
      <c r="D14" s="16"/>
      <c r="E14" s="16">
        <f>C14+D14</f>
        <v>2343000</v>
      </c>
      <c r="F14" s="16"/>
      <c r="G14" s="16">
        <f>E14+F14</f>
        <v>2343000</v>
      </c>
      <c r="H14" s="18"/>
      <c r="I14" s="23">
        <v>2431800</v>
      </c>
      <c r="J14" s="18">
        <f>98183+16430</f>
        <v>114613</v>
      </c>
      <c r="K14" s="11">
        <f>SUM(I14,J14)</f>
        <v>2546413</v>
      </c>
      <c r="L14" s="45"/>
      <c r="M14" s="23">
        <f t="shared" si="1"/>
        <v>2546413</v>
      </c>
      <c r="N14" s="23">
        <v>2748237.08</v>
      </c>
      <c r="O14" s="54">
        <f t="shared" si="3"/>
        <v>1.0792581878901812</v>
      </c>
    </row>
    <row r="15" spans="1:15" ht="19.5" customHeight="1">
      <c r="A15" s="20" t="s">
        <v>20</v>
      </c>
      <c r="B15" s="26" t="s">
        <v>21</v>
      </c>
      <c r="C15" s="21">
        <f aca="true" t="shared" si="6" ref="C15:L15">C16</f>
        <v>293960</v>
      </c>
      <c r="D15" s="21">
        <f t="shared" si="6"/>
        <v>0</v>
      </c>
      <c r="E15" s="21">
        <f t="shared" si="6"/>
        <v>293960</v>
      </c>
      <c r="F15" s="21">
        <f t="shared" si="6"/>
        <v>0</v>
      </c>
      <c r="G15" s="21">
        <f t="shared" si="6"/>
        <v>293960</v>
      </c>
      <c r="H15" s="21">
        <f t="shared" si="6"/>
        <v>106000</v>
      </c>
      <c r="I15" s="21">
        <f t="shared" si="6"/>
        <v>399960</v>
      </c>
      <c r="J15" s="21">
        <f t="shared" si="6"/>
        <v>0</v>
      </c>
      <c r="K15" s="21">
        <f t="shared" si="6"/>
        <v>399960</v>
      </c>
      <c r="L15" s="21">
        <f t="shared" si="6"/>
        <v>0</v>
      </c>
      <c r="M15" s="21">
        <f t="shared" si="1"/>
        <v>399960</v>
      </c>
      <c r="N15" s="21">
        <f>N16+N17</f>
        <v>412257.95</v>
      </c>
      <c r="O15" s="53">
        <f t="shared" si="3"/>
        <v>1.0307479497949796</v>
      </c>
    </row>
    <row r="16" spans="1:15" s="12" customFormat="1" ht="32.25" customHeight="1">
      <c r="A16" s="15" t="s">
        <v>96</v>
      </c>
      <c r="B16" s="28" t="s">
        <v>22</v>
      </c>
      <c r="C16" s="16">
        <v>293960</v>
      </c>
      <c r="D16" s="16"/>
      <c r="E16" s="16">
        <f>C16+D16</f>
        <v>293960</v>
      </c>
      <c r="F16" s="16"/>
      <c r="G16" s="16">
        <f>E16+F16</f>
        <v>293960</v>
      </c>
      <c r="H16" s="18">
        <v>106000</v>
      </c>
      <c r="I16" s="23">
        <f>G16+H16</f>
        <v>399960</v>
      </c>
      <c r="J16" s="18"/>
      <c r="K16" s="11">
        <f>SUM(I16,J16)</f>
        <v>399960</v>
      </c>
      <c r="L16" s="45"/>
      <c r="M16" s="23">
        <f t="shared" si="1"/>
        <v>399960</v>
      </c>
      <c r="N16" s="23">
        <v>412276</v>
      </c>
      <c r="O16" s="54">
        <f t="shared" si="3"/>
        <v>1.0307930793079307</v>
      </c>
    </row>
    <row r="17" spans="1:15" s="12" customFormat="1" ht="21" customHeight="1">
      <c r="A17" s="15" t="s">
        <v>252</v>
      </c>
      <c r="B17" s="66" t="s">
        <v>251</v>
      </c>
      <c r="C17" s="16"/>
      <c r="D17" s="16"/>
      <c r="E17" s="16"/>
      <c r="F17" s="16"/>
      <c r="G17" s="16"/>
      <c r="H17" s="18"/>
      <c r="I17" s="23"/>
      <c r="J17" s="18"/>
      <c r="K17" s="11"/>
      <c r="L17" s="45"/>
      <c r="M17" s="23"/>
      <c r="N17" s="23">
        <v>-18.05</v>
      </c>
      <c r="O17" s="54"/>
    </row>
    <row r="18" spans="1:15" ht="19.5" customHeight="1">
      <c r="A18" s="20" t="s">
        <v>23</v>
      </c>
      <c r="B18" s="26" t="s">
        <v>24</v>
      </c>
      <c r="C18" s="21">
        <f aca="true" t="shared" si="7" ref="C18:K18">C19+C20+C21</f>
        <v>2537000</v>
      </c>
      <c r="D18" s="21">
        <f t="shared" si="7"/>
        <v>104000</v>
      </c>
      <c r="E18" s="21">
        <f t="shared" si="7"/>
        <v>2641000</v>
      </c>
      <c r="F18" s="21">
        <f t="shared" si="7"/>
        <v>0</v>
      </c>
      <c r="G18" s="21">
        <f t="shared" si="7"/>
        <v>2641000</v>
      </c>
      <c r="H18" s="21">
        <f t="shared" si="7"/>
        <v>124473</v>
      </c>
      <c r="I18" s="21">
        <f t="shared" si="7"/>
        <v>2765473</v>
      </c>
      <c r="J18" s="21">
        <f t="shared" si="7"/>
        <v>0</v>
      </c>
      <c r="K18" s="21">
        <f t="shared" si="7"/>
        <v>2765473</v>
      </c>
      <c r="L18" s="21">
        <f>L19+L20+L21</f>
        <v>0</v>
      </c>
      <c r="M18" s="21">
        <f t="shared" si="1"/>
        <v>2765473</v>
      </c>
      <c r="N18" s="21">
        <f>N19+N20+N21</f>
        <v>2852100.99</v>
      </c>
      <c r="O18" s="53">
        <f t="shared" si="3"/>
        <v>1.0313248366554293</v>
      </c>
    </row>
    <row r="19" spans="1:15" s="12" customFormat="1" ht="23.25" customHeight="1">
      <c r="A19" s="15" t="s">
        <v>25</v>
      </c>
      <c r="B19" s="28" t="s">
        <v>26</v>
      </c>
      <c r="C19" s="16">
        <v>2057000</v>
      </c>
      <c r="D19" s="16">
        <v>76000</v>
      </c>
      <c r="E19" s="16">
        <f>C19+D19</f>
        <v>2133000</v>
      </c>
      <c r="F19" s="16"/>
      <c r="G19" s="16">
        <f>E19+F19</f>
        <v>2133000</v>
      </c>
      <c r="H19" s="18">
        <f>87360+30000+6000+300+813</f>
        <v>124473</v>
      </c>
      <c r="I19" s="23">
        <f>G19+H19</f>
        <v>2257473</v>
      </c>
      <c r="J19" s="18"/>
      <c r="K19" s="11">
        <f>SUM(I19,J19)</f>
        <v>2257473</v>
      </c>
      <c r="L19" s="45"/>
      <c r="M19" s="23">
        <f t="shared" si="1"/>
        <v>2257473</v>
      </c>
      <c r="N19" s="23">
        <v>2362964</v>
      </c>
      <c r="O19" s="54">
        <f t="shared" si="3"/>
        <v>1.0467296840316584</v>
      </c>
    </row>
    <row r="20" spans="1:15" s="12" customFormat="1" ht="21.75" customHeight="1">
      <c r="A20" s="15" t="s">
        <v>27</v>
      </c>
      <c r="B20" s="28" t="s">
        <v>28</v>
      </c>
      <c r="C20" s="16">
        <v>210000</v>
      </c>
      <c r="D20" s="16">
        <v>6000</v>
      </c>
      <c r="E20" s="16">
        <f>C20+D20</f>
        <v>216000</v>
      </c>
      <c r="F20" s="16"/>
      <c r="G20" s="16">
        <f>E20+F20</f>
        <v>216000</v>
      </c>
      <c r="H20" s="18"/>
      <c r="I20" s="23">
        <f>G20+H20</f>
        <v>216000</v>
      </c>
      <c r="J20" s="18"/>
      <c r="K20" s="11">
        <f>SUM(I20,J20)</f>
        <v>216000</v>
      </c>
      <c r="L20" s="45"/>
      <c r="M20" s="23">
        <f t="shared" si="1"/>
        <v>216000</v>
      </c>
      <c r="N20" s="23">
        <v>182832</v>
      </c>
      <c r="O20" s="54">
        <f t="shared" si="3"/>
        <v>0.8464444444444444</v>
      </c>
    </row>
    <row r="21" spans="1:15" ht="18.75" customHeight="1">
      <c r="A21" s="15" t="s">
        <v>90</v>
      </c>
      <c r="B21" s="28" t="s">
        <v>29</v>
      </c>
      <c r="C21" s="16">
        <v>270000</v>
      </c>
      <c r="D21" s="16">
        <v>22000</v>
      </c>
      <c r="E21" s="16">
        <f>C21+D21</f>
        <v>292000</v>
      </c>
      <c r="F21" s="16"/>
      <c r="G21" s="16">
        <f>E21+F21</f>
        <v>292000</v>
      </c>
      <c r="H21" s="24"/>
      <c r="I21" s="23">
        <f>G21+H21</f>
        <v>292000</v>
      </c>
      <c r="J21" s="24"/>
      <c r="K21" s="11">
        <f>SUM(I21,J21)</f>
        <v>292000</v>
      </c>
      <c r="L21" s="45"/>
      <c r="M21" s="23">
        <f t="shared" si="1"/>
        <v>292000</v>
      </c>
      <c r="N21" s="23">
        <v>306304.99</v>
      </c>
      <c r="O21" s="54">
        <f t="shared" si="3"/>
        <v>1.048989691780822</v>
      </c>
    </row>
    <row r="22" spans="1:15" ht="30.75" customHeight="1">
      <c r="A22" s="20" t="s">
        <v>30</v>
      </c>
      <c r="B22" s="26" t="s">
        <v>31</v>
      </c>
      <c r="C22" s="21">
        <f aca="true" t="shared" si="8" ref="C22:L22">C23</f>
        <v>2000</v>
      </c>
      <c r="D22" s="21">
        <f t="shared" si="8"/>
        <v>0</v>
      </c>
      <c r="E22" s="21">
        <f t="shared" si="8"/>
        <v>2000</v>
      </c>
      <c r="F22" s="21">
        <f t="shared" si="8"/>
        <v>0</v>
      </c>
      <c r="G22" s="21">
        <f t="shared" si="8"/>
        <v>2000</v>
      </c>
      <c r="H22" s="21">
        <f t="shared" si="8"/>
        <v>0</v>
      </c>
      <c r="I22" s="21">
        <f t="shared" si="8"/>
        <v>2000</v>
      </c>
      <c r="J22" s="21">
        <f t="shared" si="8"/>
        <v>0</v>
      </c>
      <c r="K22" s="21">
        <f t="shared" si="8"/>
        <v>2000</v>
      </c>
      <c r="L22" s="21">
        <f t="shared" si="8"/>
        <v>0</v>
      </c>
      <c r="M22" s="21">
        <f t="shared" si="1"/>
        <v>2000</v>
      </c>
      <c r="N22" s="21">
        <f>N23</f>
        <v>3318.67</v>
      </c>
      <c r="O22" s="53">
        <f t="shared" si="3"/>
        <v>1.659335</v>
      </c>
    </row>
    <row r="23" spans="1:15" ht="15.75">
      <c r="A23" s="25" t="s">
        <v>77</v>
      </c>
      <c r="B23" s="65" t="s">
        <v>73</v>
      </c>
      <c r="C23" s="17">
        <v>2000</v>
      </c>
      <c r="D23" s="17"/>
      <c r="E23" s="17">
        <v>2000</v>
      </c>
      <c r="F23" s="17"/>
      <c r="G23" s="17">
        <v>2000</v>
      </c>
      <c r="H23" s="24"/>
      <c r="I23" s="19">
        <f>G23+H23</f>
        <v>2000</v>
      </c>
      <c r="J23" s="24"/>
      <c r="K23" s="11">
        <f>SUM(I23,J23)</f>
        <v>2000</v>
      </c>
      <c r="L23" s="44"/>
      <c r="M23" s="19">
        <f t="shared" si="1"/>
        <v>2000</v>
      </c>
      <c r="N23" s="19">
        <v>3318.67</v>
      </c>
      <c r="O23" s="52">
        <f t="shared" si="3"/>
        <v>1.659335</v>
      </c>
    </row>
    <row r="24" spans="1:15" ht="18" customHeight="1">
      <c r="A24" s="20" t="s">
        <v>49</v>
      </c>
      <c r="B24" s="26" t="s">
        <v>92</v>
      </c>
      <c r="C24" s="21">
        <f aca="true" t="shared" si="9" ref="C24:L24">C25</f>
        <v>175</v>
      </c>
      <c r="D24" s="21">
        <f t="shared" si="9"/>
        <v>0</v>
      </c>
      <c r="E24" s="21">
        <f t="shared" si="9"/>
        <v>175</v>
      </c>
      <c r="F24" s="21">
        <f t="shared" si="9"/>
        <v>0</v>
      </c>
      <c r="G24" s="21">
        <f t="shared" si="9"/>
        <v>175</v>
      </c>
      <c r="H24" s="21">
        <f t="shared" si="9"/>
        <v>0</v>
      </c>
      <c r="I24" s="21">
        <f t="shared" si="9"/>
        <v>175</v>
      </c>
      <c r="J24" s="21">
        <f t="shared" si="9"/>
        <v>0</v>
      </c>
      <c r="K24" s="21">
        <f t="shared" si="9"/>
        <v>175</v>
      </c>
      <c r="L24" s="21">
        <f t="shared" si="9"/>
        <v>0</v>
      </c>
      <c r="M24" s="21">
        <f t="shared" si="1"/>
        <v>175</v>
      </c>
      <c r="N24" s="21">
        <f>N25</f>
        <v>172.85</v>
      </c>
      <c r="O24" s="53">
        <f t="shared" si="3"/>
        <v>0.9877142857142857</v>
      </c>
    </row>
    <row r="25" spans="1:15" s="12" customFormat="1" ht="47.25">
      <c r="A25" s="15" t="s">
        <v>78</v>
      </c>
      <c r="B25" s="28" t="s">
        <v>76</v>
      </c>
      <c r="C25" s="16">
        <v>175</v>
      </c>
      <c r="D25" s="16"/>
      <c r="E25" s="16">
        <f>C25+D25</f>
        <v>175</v>
      </c>
      <c r="F25" s="16"/>
      <c r="G25" s="16">
        <f>E25+F25</f>
        <v>175</v>
      </c>
      <c r="H25" s="18"/>
      <c r="I25" s="23">
        <f aca="true" t="shared" si="10" ref="I25:I55">G25+H25</f>
        <v>175</v>
      </c>
      <c r="J25" s="18"/>
      <c r="K25" s="11">
        <f>SUM(I25,J25)</f>
        <v>175</v>
      </c>
      <c r="L25" s="45"/>
      <c r="M25" s="23">
        <f t="shared" si="1"/>
        <v>175</v>
      </c>
      <c r="N25" s="23">
        <v>172.85</v>
      </c>
      <c r="O25" s="54">
        <f t="shared" si="3"/>
        <v>0.9877142857142857</v>
      </c>
    </row>
    <row r="26" spans="1:15" ht="34.5" customHeight="1">
      <c r="A26" s="20" t="s">
        <v>59</v>
      </c>
      <c r="B26" s="26" t="s">
        <v>93</v>
      </c>
      <c r="C26" s="21">
        <f>C27+C28</f>
        <v>20850</v>
      </c>
      <c r="D26" s="21">
        <f>D27+D28</f>
        <v>60000</v>
      </c>
      <c r="E26" s="21">
        <f>E27+E28</f>
        <v>80850</v>
      </c>
      <c r="F26" s="21">
        <f>F27+F28</f>
        <v>0</v>
      </c>
      <c r="G26" s="21">
        <f>G27+G28</f>
        <v>80850</v>
      </c>
      <c r="H26" s="24"/>
      <c r="I26" s="21">
        <f>I27+I28</f>
        <v>80850</v>
      </c>
      <c r="J26" s="21">
        <f>J27+J28</f>
        <v>0</v>
      </c>
      <c r="K26" s="21">
        <f>K27+K28</f>
        <v>80850</v>
      </c>
      <c r="L26" s="21">
        <f>L27+L28</f>
        <v>0</v>
      </c>
      <c r="M26" s="21">
        <f t="shared" si="1"/>
        <v>80850</v>
      </c>
      <c r="N26" s="21">
        <f>N27+N28+N29</f>
        <v>67429</v>
      </c>
      <c r="O26" s="53">
        <f t="shared" si="3"/>
        <v>0.8340012368583797</v>
      </c>
    </row>
    <row r="27" spans="1:15" s="12" customFormat="1" ht="21.75" customHeight="1">
      <c r="A27" s="15" t="s">
        <v>74</v>
      </c>
      <c r="B27" s="28" t="s">
        <v>75</v>
      </c>
      <c r="C27" s="16">
        <v>6850</v>
      </c>
      <c r="D27" s="16"/>
      <c r="E27" s="16">
        <f>C27+D27</f>
        <v>6850</v>
      </c>
      <c r="F27" s="16"/>
      <c r="G27" s="16">
        <f>E27+F27</f>
        <v>6850</v>
      </c>
      <c r="H27" s="18"/>
      <c r="I27" s="23">
        <f t="shared" si="10"/>
        <v>6850</v>
      </c>
      <c r="J27" s="18"/>
      <c r="K27" s="11">
        <f>SUM(I27,J27)</f>
        <v>6850</v>
      </c>
      <c r="L27" s="45"/>
      <c r="M27" s="23">
        <f t="shared" si="1"/>
        <v>6850</v>
      </c>
      <c r="N27" s="23">
        <v>-77057</v>
      </c>
      <c r="O27" s="54">
        <f t="shared" si="3"/>
        <v>-11.249197080291971</v>
      </c>
    </row>
    <row r="28" spans="1:15" s="12" customFormat="1" ht="18.75" customHeight="1">
      <c r="A28" s="15" t="s">
        <v>32</v>
      </c>
      <c r="B28" s="28" t="s">
        <v>33</v>
      </c>
      <c r="C28" s="16">
        <v>14000</v>
      </c>
      <c r="D28" s="16">
        <v>60000</v>
      </c>
      <c r="E28" s="16">
        <f>C28+D28</f>
        <v>74000</v>
      </c>
      <c r="F28" s="16"/>
      <c r="G28" s="16">
        <f>E28+F28</f>
        <v>74000</v>
      </c>
      <c r="H28" s="18"/>
      <c r="I28" s="23">
        <f t="shared" si="10"/>
        <v>74000</v>
      </c>
      <c r="J28" s="18"/>
      <c r="K28" s="11">
        <f>SUM(I28,J28)</f>
        <v>74000</v>
      </c>
      <c r="L28" s="45"/>
      <c r="M28" s="23">
        <f t="shared" si="1"/>
        <v>74000</v>
      </c>
      <c r="N28" s="23">
        <v>140322</v>
      </c>
      <c r="O28" s="54">
        <f t="shared" si="3"/>
        <v>1.8962432432432432</v>
      </c>
    </row>
    <row r="29" spans="1:15" s="12" customFormat="1" ht="37.5" customHeight="1">
      <c r="A29" s="7" t="s">
        <v>258</v>
      </c>
      <c r="B29" s="63" t="s">
        <v>259</v>
      </c>
      <c r="C29" s="16"/>
      <c r="D29" s="16"/>
      <c r="E29" s="16"/>
      <c r="F29" s="16"/>
      <c r="G29" s="16"/>
      <c r="H29" s="18"/>
      <c r="I29" s="23"/>
      <c r="J29" s="18"/>
      <c r="K29" s="11"/>
      <c r="L29" s="45"/>
      <c r="M29" s="23"/>
      <c r="N29" s="23">
        <v>4164</v>
      </c>
      <c r="O29" s="54"/>
    </row>
    <row r="30" spans="1:15" ht="47.25">
      <c r="A30" s="20" t="s">
        <v>34</v>
      </c>
      <c r="B30" s="26" t="s">
        <v>35</v>
      </c>
      <c r="C30" s="21">
        <f aca="true" t="shared" si="11" ref="C30:K30">C31+C32+C33+C38</f>
        <v>78500</v>
      </c>
      <c r="D30" s="21">
        <f t="shared" si="11"/>
        <v>0</v>
      </c>
      <c r="E30" s="21">
        <f t="shared" si="11"/>
        <v>78500</v>
      </c>
      <c r="F30" s="21">
        <f t="shared" si="11"/>
        <v>0</v>
      </c>
      <c r="G30" s="21">
        <f t="shared" si="11"/>
        <v>78500</v>
      </c>
      <c r="H30" s="21">
        <f t="shared" si="11"/>
        <v>237740</v>
      </c>
      <c r="I30" s="21">
        <f t="shared" si="11"/>
        <v>316240</v>
      </c>
      <c r="J30" s="21">
        <f t="shared" si="11"/>
        <v>0</v>
      </c>
      <c r="K30" s="21">
        <f t="shared" si="11"/>
        <v>316240</v>
      </c>
      <c r="L30" s="21">
        <f>L31+L32+L33+L38</f>
        <v>0</v>
      </c>
      <c r="M30" s="21">
        <f t="shared" si="1"/>
        <v>316240</v>
      </c>
      <c r="N30" s="21">
        <f>N31+N32+N33+N38+N39</f>
        <v>371218.86</v>
      </c>
      <c r="O30" s="53">
        <f t="shared" si="3"/>
        <v>1.1738516949152542</v>
      </c>
    </row>
    <row r="31" spans="1:15" s="12" customFormat="1" ht="51.75" customHeight="1">
      <c r="A31" s="15" t="s">
        <v>62</v>
      </c>
      <c r="B31" s="28" t="s">
        <v>83</v>
      </c>
      <c r="C31" s="16">
        <v>500</v>
      </c>
      <c r="D31" s="16"/>
      <c r="E31" s="16">
        <f>C31+D31</f>
        <v>500</v>
      </c>
      <c r="F31" s="16"/>
      <c r="G31" s="16">
        <f>E31+F31</f>
        <v>500</v>
      </c>
      <c r="H31" s="18"/>
      <c r="I31" s="23">
        <f t="shared" si="10"/>
        <v>500</v>
      </c>
      <c r="J31" s="18"/>
      <c r="K31" s="11">
        <f aca="true" t="shared" si="12" ref="K31:K38">SUM(I31,J31)</f>
        <v>500</v>
      </c>
      <c r="L31" s="45"/>
      <c r="M31" s="23">
        <f t="shared" si="1"/>
        <v>500</v>
      </c>
      <c r="N31" s="23">
        <v>758</v>
      </c>
      <c r="O31" s="54">
        <f t="shared" si="3"/>
        <v>1.516</v>
      </c>
    </row>
    <row r="32" spans="1:15" s="12" customFormat="1" ht="63" customHeight="1">
      <c r="A32" s="15" t="s">
        <v>63</v>
      </c>
      <c r="B32" s="28" t="s">
        <v>84</v>
      </c>
      <c r="C32" s="16">
        <v>5500</v>
      </c>
      <c r="D32" s="16"/>
      <c r="E32" s="16">
        <f>C32+D32</f>
        <v>5500</v>
      </c>
      <c r="F32" s="16"/>
      <c r="G32" s="16">
        <f>E32+F32</f>
        <v>5500</v>
      </c>
      <c r="H32" s="18"/>
      <c r="I32" s="23">
        <f t="shared" si="10"/>
        <v>5500</v>
      </c>
      <c r="J32" s="18"/>
      <c r="K32" s="11">
        <f t="shared" si="12"/>
        <v>5500</v>
      </c>
      <c r="L32" s="45"/>
      <c r="M32" s="23">
        <f t="shared" si="1"/>
        <v>5500</v>
      </c>
      <c r="N32" s="23">
        <v>2473</v>
      </c>
      <c r="O32" s="54">
        <f t="shared" si="3"/>
        <v>0.4496363636363636</v>
      </c>
    </row>
    <row r="33" spans="1:15" ht="47.25">
      <c r="A33" s="15" t="s">
        <v>50</v>
      </c>
      <c r="B33" s="28" t="s">
        <v>36</v>
      </c>
      <c r="C33" s="16">
        <f aca="true" t="shared" si="13" ref="C33:I33">C34+C36</f>
        <v>70000</v>
      </c>
      <c r="D33" s="16">
        <f t="shared" si="13"/>
        <v>0</v>
      </c>
      <c r="E33" s="16">
        <f t="shared" si="13"/>
        <v>70000</v>
      </c>
      <c r="F33" s="16">
        <f t="shared" si="13"/>
        <v>0</v>
      </c>
      <c r="G33" s="16">
        <f t="shared" si="13"/>
        <v>70000</v>
      </c>
      <c r="H33" s="16">
        <f t="shared" si="13"/>
        <v>236000</v>
      </c>
      <c r="I33" s="16">
        <f t="shared" si="13"/>
        <v>306000</v>
      </c>
      <c r="J33" s="24"/>
      <c r="K33" s="11">
        <f t="shared" si="12"/>
        <v>306000</v>
      </c>
      <c r="L33" s="16">
        <f>L34+L36</f>
        <v>0</v>
      </c>
      <c r="M33" s="16">
        <f t="shared" si="1"/>
        <v>306000</v>
      </c>
      <c r="N33" s="16">
        <f>N34+N36+N35</f>
        <v>362864</v>
      </c>
      <c r="O33" s="55">
        <f t="shared" si="3"/>
        <v>1.185830065359477</v>
      </c>
    </row>
    <row r="34" spans="1:15" ht="110.25" customHeight="1">
      <c r="A34" s="25" t="s">
        <v>112</v>
      </c>
      <c r="B34" s="65" t="s">
        <v>105</v>
      </c>
      <c r="C34" s="17">
        <v>50000</v>
      </c>
      <c r="D34" s="17"/>
      <c r="E34" s="17">
        <f>C34+D34</f>
        <v>50000</v>
      </c>
      <c r="F34" s="17"/>
      <c r="G34" s="17">
        <f>E34+F34</f>
        <v>50000</v>
      </c>
      <c r="H34" s="24">
        <v>230000</v>
      </c>
      <c r="I34" s="19">
        <f t="shared" si="10"/>
        <v>280000</v>
      </c>
      <c r="J34" s="24"/>
      <c r="K34" s="11">
        <f t="shared" si="12"/>
        <v>280000</v>
      </c>
      <c r="L34" s="44"/>
      <c r="M34" s="19">
        <f t="shared" si="1"/>
        <v>280000</v>
      </c>
      <c r="N34" s="19">
        <v>326110</v>
      </c>
      <c r="O34" s="52">
        <f t="shared" si="3"/>
        <v>1.1646785714285715</v>
      </c>
    </row>
    <row r="35" spans="1:15" ht="66" customHeight="1">
      <c r="A35" s="9" t="s">
        <v>257</v>
      </c>
      <c r="B35" s="65" t="s">
        <v>0</v>
      </c>
      <c r="C35" s="17"/>
      <c r="D35" s="17"/>
      <c r="E35" s="17"/>
      <c r="F35" s="17"/>
      <c r="G35" s="17"/>
      <c r="H35" s="24"/>
      <c r="I35" s="19"/>
      <c r="J35" s="24"/>
      <c r="K35" s="11"/>
      <c r="L35" s="44"/>
      <c r="M35" s="19"/>
      <c r="N35" s="19">
        <v>3694</v>
      </c>
      <c r="O35" s="52"/>
    </row>
    <row r="36" spans="1:15" ht="99.75" customHeight="1">
      <c r="A36" s="25" t="s">
        <v>64</v>
      </c>
      <c r="B36" s="65" t="s">
        <v>85</v>
      </c>
      <c r="C36" s="17">
        <v>20000</v>
      </c>
      <c r="D36" s="17"/>
      <c r="E36" s="17">
        <f>C36+D36</f>
        <v>20000</v>
      </c>
      <c r="F36" s="17"/>
      <c r="G36" s="17">
        <f>E36+F36</f>
        <v>20000</v>
      </c>
      <c r="H36" s="24">
        <v>6000</v>
      </c>
      <c r="I36" s="19">
        <f t="shared" si="10"/>
        <v>26000</v>
      </c>
      <c r="J36" s="24"/>
      <c r="K36" s="11">
        <f t="shared" si="12"/>
        <v>26000</v>
      </c>
      <c r="L36" s="44"/>
      <c r="M36" s="19">
        <f t="shared" si="1"/>
        <v>26000</v>
      </c>
      <c r="N36" s="19">
        <v>33060</v>
      </c>
      <c r="O36" s="52">
        <f t="shared" si="3"/>
        <v>1.2715384615384615</v>
      </c>
    </row>
    <row r="37" spans="1:15" ht="31.5" customHeight="1" hidden="1">
      <c r="A37" s="15" t="s">
        <v>56</v>
      </c>
      <c r="B37" s="28" t="s">
        <v>57</v>
      </c>
      <c r="C37" s="16"/>
      <c r="D37" s="16"/>
      <c r="E37" s="16"/>
      <c r="F37" s="16"/>
      <c r="G37" s="16"/>
      <c r="H37" s="24"/>
      <c r="I37" s="24"/>
      <c r="J37" s="24"/>
      <c r="K37" s="11">
        <f t="shared" si="12"/>
        <v>0</v>
      </c>
      <c r="L37" s="44"/>
      <c r="M37" s="24">
        <f t="shared" si="1"/>
        <v>0</v>
      </c>
      <c r="N37" s="24"/>
      <c r="O37" s="52" t="e">
        <f t="shared" si="3"/>
        <v>#DIV/0!</v>
      </c>
    </row>
    <row r="38" spans="1:15" s="12" customFormat="1" ht="78.75">
      <c r="A38" s="15" t="s">
        <v>65</v>
      </c>
      <c r="B38" s="28" t="s">
        <v>86</v>
      </c>
      <c r="C38" s="16">
        <v>2500</v>
      </c>
      <c r="D38" s="16"/>
      <c r="E38" s="16">
        <f>C38+D38</f>
        <v>2500</v>
      </c>
      <c r="F38" s="16"/>
      <c r="G38" s="16">
        <f>E38+F38</f>
        <v>2500</v>
      </c>
      <c r="H38" s="18">
        <v>1740</v>
      </c>
      <c r="I38" s="23">
        <f t="shared" si="10"/>
        <v>4240</v>
      </c>
      <c r="J38" s="18"/>
      <c r="K38" s="11">
        <f t="shared" si="12"/>
        <v>4240</v>
      </c>
      <c r="L38" s="45"/>
      <c r="M38" s="23">
        <f t="shared" si="1"/>
        <v>4240</v>
      </c>
      <c r="N38" s="23">
        <v>5115</v>
      </c>
      <c r="O38" s="54">
        <f t="shared" si="3"/>
        <v>1.2063679245283019</v>
      </c>
    </row>
    <row r="39" spans="1:15" s="12" customFormat="1" ht="47.25">
      <c r="A39" s="15" t="s">
        <v>4</v>
      </c>
      <c r="B39" s="28" t="s">
        <v>1</v>
      </c>
      <c r="C39" s="16"/>
      <c r="D39" s="16"/>
      <c r="E39" s="16"/>
      <c r="F39" s="16"/>
      <c r="G39" s="16"/>
      <c r="H39" s="18"/>
      <c r="I39" s="23"/>
      <c r="J39" s="18"/>
      <c r="K39" s="11"/>
      <c r="L39" s="45"/>
      <c r="M39" s="23"/>
      <c r="N39" s="23">
        <v>8.86</v>
      </c>
      <c r="O39" s="54"/>
    </row>
    <row r="40" spans="1:15" ht="31.5">
      <c r="A40" s="20" t="s">
        <v>37</v>
      </c>
      <c r="B40" s="26" t="s">
        <v>38</v>
      </c>
      <c r="C40" s="21">
        <f aca="true" t="shared" si="14" ref="C40:K40">C41+C43</f>
        <v>60640</v>
      </c>
      <c r="D40" s="21">
        <f t="shared" si="14"/>
        <v>0</v>
      </c>
      <c r="E40" s="21">
        <f t="shared" si="14"/>
        <v>60640</v>
      </c>
      <c r="F40" s="21">
        <f t="shared" si="14"/>
        <v>0</v>
      </c>
      <c r="G40" s="21">
        <f t="shared" si="14"/>
        <v>60640</v>
      </c>
      <c r="H40" s="21">
        <f t="shared" si="14"/>
        <v>0</v>
      </c>
      <c r="I40" s="21">
        <f t="shared" si="14"/>
        <v>60640</v>
      </c>
      <c r="J40" s="21">
        <f t="shared" si="14"/>
        <v>0</v>
      </c>
      <c r="K40" s="21">
        <f t="shared" si="14"/>
        <v>60640</v>
      </c>
      <c r="L40" s="21">
        <f>L41+L43</f>
        <v>0</v>
      </c>
      <c r="M40" s="21">
        <f t="shared" si="1"/>
        <v>60640</v>
      </c>
      <c r="N40" s="21">
        <f>N41+N43+N42</f>
        <v>66110.25</v>
      </c>
      <c r="O40" s="53">
        <f t="shared" si="3"/>
        <v>1.0902086081794196</v>
      </c>
    </row>
    <row r="41" spans="1:15" s="12" customFormat="1" ht="31.5">
      <c r="A41" s="15" t="s">
        <v>39</v>
      </c>
      <c r="B41" s="28" t="s">
        <v>40</v>
      </c>
      <c r="C41" s="16">
        <v>54000</v>
      </c>
      <c r="D41" s="16"/>
      <c r="E41" s="16">
        <f>C41+D41</f>
        <v>54000</v>
      </c>
      <c r="F41" s="16"/>
      <c r="G41" s="16">
        <f>E41+F41</f>
        <v>54000</v>
      </c>
      <c r="H41" s="18"/>
      <c r="I41" s="23">
        <f t="shared" si="10"/>
        <v>54000</v>
      </c>
      <c r="J41" s="18"/>
      <c r="K41" s="11">
        <f>SUM(I41,J41)</f>
        <v>54000</v>
      </c>
      <c r="L41" s="45"/>
      <c r="M41" s="23">
        <f t="shared" si="1"/>
        <v>54000</v>
      </c>
      <c r="N41" s="23">
        <v>61931</v>
      </c>
      <c r="O41" s="54">
        <f t="shared" si="3"/>
        <v>1.1468703703703704</v>
      </c>
    </row>
    <row r="42" spans="1:15" s="12" customFormat="1" ht="24" customHeight="1">
      <c r="A42" s="15" t="s">
        <v>5</v>
      </c>
      <c r="B42" s="28" t="s">
        <v>2</v>
      </c>
      <c r="C42" s="16"/>
      <c r="D42" s="16"/>
      <c r="E42" s="16"/>
      <c r="F42" s="16"/>
      <c r="G42" s="16"/>
      <c r="H42" s="18"/>
      <c r="I42" s="23"/>
      <c r="J42" s="18"/>
      <c r="K42" s="11"/>
      <c r="L42" s="45"/>
      <c r="M42" s="23"/>
      <c r="N42" s="23">
        <v>230</v>
      </c>
      <c r="O42" s="54"/>
    </row>
    <row r="43" spans="1:15" s="12" customFormat="1" ht="31.5">
      <c r="A43" s="15" t="s">
        <v>113</v>
      </c>
      <c r="B43" s="28" t="s">
        <v>88</v>
      </c>
      <c r="C43" s="16">
        <v>6640</v>
      </c>
      <c r="D43" s="16"/>
      <c r="E43" s="16">
        <f>C43+D43</f>
        <v>6640</v>
      </c>
      <c r="F43" s="16"/>
      <c r="G43" s="16">
        <f>E43+F43</f>
        <v>6640</v>
      </c>
      <c r="H43" s="18"/>
      <c r="I43" s="23">
        <f t="shared" si="10"/>
        <v>6640</v>
      </c>
      <c r="J43" s="18"/>
      <c r="K43" s="11">
        <f>SUM(I43,J43)</f>
        <v>6640</v>
      </c>
      <c r="L43" s="45"/>
      <c r="M43" s="23">
        <f t="shared" si="1"/>
        <v>6640</v>
      </c>
      <c r="N43" s="23">
        <v>3949.25</v>
      </c>
      <c r="O43" s="54">
        <f t="shared" si="3"/>
        <v>0.5947665662650602</v>
      </c>
    </row>
    <row r="44" spans="1:15" ht="31.5">
      <c r="A44" s="20" t="s">
        <v>45</v>
      </c>
      <c r="B44" s="26" t="s">
        <v>46</v>
      </c>
      <c r="C44" s="21">
        <f>C46</f>
        <v>68000</v>
      </c>
      <c r="D44" s="21">
        <f>D46</f>
        <v>0</v>
      </c>
      <c r="E44" s="21">
        <f>E46</f>
        <v>68000</v>
      </c>
      <c r="F44" s="21">
        <f>F46</f>
        <v>0</v>
      </c>
      <c r="G44" s="21">
        <f aca="true" t="shared" si="15" ref="G44:L44">G46+G45</f>
        <v>68000</v>
      </c>
      <c r="H44" s="21">
        <f t="shared" si="15"/>
        <v>900</v>
      </c>
      <c r="I44" s="21">
        <f t="shared" si="15"/>
        <v>68900</v>
      </c>
      <c r="J44" s="21">
        <f t="shared" si="15"/>
        <v>0</v>
      </c>
      <c r="K44" s="21">
        <f t="shared" si="15"/>
        <v>68900</v>
      </c>
      <c r="L44" s="21">
        <f t="shared" si="15"/>
        <v>0</v>
      </c>
      <c r="M44" s="21">
        <f t="shared" si="1"/>
        <v>68900</v>
      </c>
      <c r="N44" s="21">
        <f>N46+N45</f>
        <v>61083.59</v>
      </c>
      <c r="O44" s="53">
        <f t="shared" si="3"/>
        <v>0.886554281567489</v>
      </c>
    </row>
    <row r="45" spans="1:15" ht="48.75" customHeight="1">
      <c r="A45" s="15" t="s">
        <v>110</v>
      </c>
      <c r="B45" s="28" t="s">
        <v>111</v>
      </c>
      <c r="C45" s="21"/>
      <c r="D45" s="21"/>
      <c r="E45" s="21"/>
      <c r="F45" s="21"/>
      <c r="G45" s="21"/>
      <c r="H45" s="17">
        <v>900</v>
      </c>
      <c r="I45" s="23">
        <f t="shared" si="10"/>
        <v>900</v>
      </c>
      <c r="J45" s="24"/>
      <c r="K45" s="11">
        <f>SUM(I45,J45)</f>
        <v>900</v>
      </c>
      <c r="L45" s="45"/>
      <c r="M45" s="23">
        <f t="shared" si="1"/>
        <v>900</v>
      </c>
      <c r="N45" s="23">
        <v>1271</v>
      </c>
      <c r="O45" s="54">
        <f t="shared" si="3"/>
        <v>1.4122222222222223</v>
      </c>
    </row>
    <row r="46" spans="1:15" s="12" customFormat="1" ht="63">
      <c r="A46" s="15" t="s">
        <v>79</v>
      </c>
      <c r="B46" s="28" t="s">
        <v>106</v>
      </c>
      <c r="C46" s="16">
        <v>68000</v>
      </c>
      <c r="D46" s="16"/>
      <c r="E46" s="16">
        <f>C46+D46</f>
        <v>68000</v>
      </c>
      <c r="F46" s="16"/>
      <c r="G46" s="16">
        <f>E46+F46</f>
        <v>68000</v>
      </c>
      <c r="H46" s="18"/>
      <c r="I46" s="23">
        <f t="shared" si="10"/>
        <v>68000</v>
      </c>
      <c r="J46" s="18"/>
      <c r="K46" s="11">
        <f>SUM(I46,J46)</f>
        <v>68000</v>
      </c>
      <c r="L46" s="45"/>
      <c r="M46" s="23">
        <f t="shared" si="1"/>
        <v>68000</v>
      </c>
      <c r="N46" s="23">
        <v>59812.59</v>
      </c>
      <c r="O46" s="54">
        <f t="shared" si="3"/>
        <v>0.8795969117647058</v>
      </c>
    </row>
    <row r="47" spans="1:15" s="13" customFormat="1" ht="31.5">
      <c r="A47" s="20" t="s">
        <v>51</v>
      </c>
      <c r="B47" s="26" t="s">
        <v>52</v>
      </c>
      <c r="C47" s="21">
        <f aca="true" t="shared" si="16" ref="C47:L47">C48</f>
        <v>20000</v>
      </c>
      <c r="D47" s="21">
        <f t="shared" si="16"/>
        <v>198000</v>
      </c>
      <c r="E47" s="21">
        <f t="shared" si="16"/>
        <v>218000</v>
      </c>
      <c r="F47" s="21">
        <f t="shared" si="16"/>
        <v>0</v>
      </c>
      <c r="G47" s="21">
        <f t="shared" si="16"/>
        <v>218000</v>
      </c>
      <c r="H47" s="21">
        <f t="shared" si="16"/>
        <v>0</v>
      </c>
      <c r="I47" s="21">
        <f t="shared" si="16"/>
        <v>218000</v>
      </c>
      <c r="J47" s="21">
        <f t="shared" si="16"/>
        <v>0</v>
      </c>
      <c r="K47" s="21">
        <f t="shared" si="16"/>
        <v>218000</v>
      </c>
      <c r="L47" s="21">
        <f t="shared" si="16"/>
        <v>0</v>
      </c>
      <c r="M47" s="21">
        <f t="shared" si="1"/>
        <v>218000</v>
      </c>
      <c r="N47" s="21">
        <f>N48+N49</f>
        <v>17735</v>
      </c>
      <c r="O47" s="53">
        <f t="shared" si="3"/>
        <v>0.08135321100917431</v>
      </c>
    </row>
    <row r="48" spans="1:15" s="12" customFormat="1" ht="32.25" customHeight="1">
      <c r="A48" s="15" t="s">
        <v>94</v>
      </c>
      <c r="B48" s="28" t="s">
        <v>58</v>
      </c>
      <c r="C48" s="16">
        <v>20000</v>
      </c>
      <c r="D48" s="16">
        <v>198000</v>
      </c>
      <c r="E48" s="16">
        <f>C48+D48</f>
        <v>218000</v>
      </c>
      <c r="F48" s="16"/>
      <c r="G48" s="16">
        <f>E48+F48</f>
        <v>218000</v>
      </c>
      <c r="H48" s="18"/>
      <c r="I48" s="23">
        <f t="shared" si="10"/>
        <v>218000</v>
      </c>
      <c r="J48" s="18"/>
      <c r="K48" s="11">
        <f>SUM(I48,J48)</f>
        <v>218000</v>
      </c>
      <c r="L48" s="45"/>
      <c r="M48" s="23">
        <f t="shared" si="1"/>
        <v>218000</v>
      </c>
      <c r="N48" s="23">
        <v>17692</v>
      </c>
      <c r="O48" s="54">
        <f t="shared" si="3"/>
        <v>0.0811559633027523</v>
      </c>
    </row>
    <row r="49" spans="1:15" s="12" customFormat="1" ht="48" customHeight="1">
      <c r="A49" s="15" t="s">
        <v>6</v>
      </c>
      <c r="B49" s="28" t="s">
        <v>3</v>
      </c>
      <c r="C49" s="16"/>
      <c r="D49" s="16"/>
      <c r="E49" s="16"/>
      <c r="F49" s="16"/>
      <c r="G49" s="16"/>
      <c r="H49" s="18"/>
      <c r="I49" s="23"/>
      <c r="J49" s="18"/>
      <c r="K49" s="11"/>
      <c r="L49" s="45"/>
      <c r="M49" s="23"/>
      <c r="N49" s="23">
        <v>43</v>
      </c>
      <c r="O49" s="54"/>
    </row>
    <row r="50" spans="1:15" s="13" customFormat="1" ht="15.75">
      <c r="A50" s="20" t="s">
        <v>67</v>
      </c>
      <c r="B50" s="26" t="s">
        <v>68</v>
      </c>
      <c r="C50" s="21">
        <f aca="true" t="shared" si="17" ref="C50:L50">C51</f>
        <v>1270</v>
      </c>
      <c r="D50" s="21">
        <f t="shared" si="17"/>
        <v>0</v>
      </c>
      <c r="E50" s="21">
        <f t="shared" si="17"/>
        <v>1270</v>
      </c>
      <c r="F50" s="21">
        <f t="shared" si="17"/>
        <v>0</v>
      </c>
      <c r="G50" s="21">
        <f t="shared" si="17"/>
        <v>1270</v>
      </c>
      <c r="H50" s="21">
        <f t="shared" si="17"/>
        <v>0</v>
      </c>
      <c r="I50" s="21">
        <f t="shared" si="17"/>
        <v>1270</v>
      </c>
      <c r="J50" s="21">
        <f t="shared" si="17"/>
        <v>0</v>
      </c>
      <c r="K50" s="21">
        <f t="shared" si="17"/>
        <v>1270</v>
      </c>
      <c r="L50" s="21">
        <f t="shared" si="17"/>
        <v>0</v>
      </c>
      <c r="M50" s="21">
        <f t="shared" si="1"/>
        <v>1270</v>
      </c>
      <c r="N50" s="21">
        <f>N51</f>
        <v>1346.3</v>
      </c>
      <c r="O50" s="53">
        <f t="shared" si="3"/>
        <v>1.0600787401574803</v>
      </c>
    </row>
    <row r="51" spans="1:15" s="12" customFormat="1" ht="51" customHeight="1">
      <c r="A51" s="15" t="s">
        <v>69</v>
      </c>
      <c r="B51" s="28" t="s">
        <v>87</v>
      </c>
      <c r="C51" s="16">
        <v>1270</v>
      </c>
      <c r="D51" s="16"/>
      <c r="E51" s="16">
        <f>C51+D51</f>
        <v>1270</v>
      </c>
      <c r="F51" s="16"/>
      <c r="G51" s="16">
        <f>E51+F51</f>
        <v>1270</v>
      </c>
      <c r="H51" s="18"/>
      <c r="I51" s="23">
        <f t="shared" si="10"/>
        <v>1270</v>
      </c>
      <c r="J51" s="18"/>
      <c r="K51" s="11">
        <f>SUM(I51,J51)</f>
        <v>1270</v>
      </c>
      <c r="L51" s="45"/>
      <c r="M51" s="23">
        <f t="shared" si="1"/>
        <v>1270</v>
      </c>
      <c r="N51" s="23">
        <v>1346.3</v>
      </c>
      <c r="O51" s="54">
        <f t="shared" si="3"/>
        <v>1.0600787401574803</v>
      </c>
    </row>
    <row r="52" spans="1:15" ht="21" customHeight="1">
      <c r="A52" s="20" t="s">
        <v>41</v>
      </c>
      <c r="B52" s="26" t="s">
        <v>42</v>
      </c>
      <c r="C52" s="21">
        <f aca="true" t="shared" si="18" ref="C52:L52">C53</f>
        <v>4150</v>
      </c>
      <c r="D52" s="21">
        <f t="shared" si="18"/>
        <v>0</v>
      </c>
      <c r="E52" s="21">
        <f t="shared" si="18"/>
        <v>4150</v>
      </c>
      <c r="F52" s="21">
        <f t="shared" si="18"/>
        <v>0</v>
      </c>
      <c r="G52" s="21">
        <f t="shared" si="18"/>
        <v>4150</v>
      </c>
      <c r="H52" s="21">
        <f t="shared" si="18"/>
        <v>0</v>
      </c>
      <c r="I52" s="21">
        <f t="shared" si="18"/>
        <v>4150</v>
      </c>
      <c r="J52" s="21">
        <f t="shared" si="18"/>
        <v>0</v>
      </c>
      <c r="K52" s="21">
        <f t="shared" si="18"/>
        <v>4150</v>
      </c>
      <c r="L52" s="21">
        <f t="shared" si="18"/>
        <v>0</v>
      </c>
      <c r="M52" s="21">
        <f t="shared" si="1"/>
        <v>4150</v>
      </c>
      <c r="N52" s="21">
        <f>N53</f>
        <v>3284.23</v>
      </c>
      <c r="O52" s="53">
        <f t="shared" si="3"/>
        <v>0.7913807228915662</v>
      </c>
    </row>
    <row r="53" spans="1:15" s="12" customFormat="1" ht="63">
      <c r="A53" s="15" t="s">
        <v>89</v>
      </c>
      <c r="B53" s="28" t="s">
        <v>53</v>
      </c>
      <c r="C53" s="16">
        <v>4150</v>
      </c>
      <c r="D53" s="16"/>
      <c r="E53" s="16">
        <f>C53+D53</f>
        <v>4150</v>
      </c>
      <c r="F53" s="16"/>
      <c r="G53" s="16">
        <f>E53+F53</f>
        <v>4150</v>
      </c>
      <c r="H53" s="18"/>
      <c r="I53" s="23">
        <f t="shared" si="10"/>
        <v>4150</v>
      </c>
      <c r="J53" s="18"/>
      <c r="K53" s="11">
        <f>SUM(I53,J53)</f>
        <v>4150</v>
      </c>
      <c r="L53" s="45"/>
      <c r="M53" s="23">
        <f t="shared" si="1"/>
        <v>4150</v>
      </c>
      <c r="N53" s="23">
        <v>3284.23</v>
      </c>
      <c r="O53" s="54">
        <f t="shared" si="3"/>
        <v>0.7913807228915662</v>
      </c>
    </row>
    <row r="54" spans="1:15" ht="23.25" customHeight="1">
      <c r="A54" s="20" t="s">
        <v>43</v>
      </c>
      <c r="B54" s="26" t="s">
        <v>44</v>
      </c>
      <c r="C54" s="21">
        <f aca="true" t="shared" si="19" ref="C54:L54">C55</f>
        <v>44000</v>
      </c>
      <c r="D54" s="21">
        <f t="shared" si="19"/>
        <v>0</v>
      </c>
      <c r="E54" s="21">
        <f t="shared" si="19"/>
        <v>44000</v>
      </c>
      <c r="F54" s="21">
        <f t="shared" si="19"/>
        <v>0</v>
      </c>
      <c r="G54" s="21">
        <f t="shared" si="19"/>
        <v>44000</v>
      </c>
      <c r="H54" s="21">
        <f t="shared" si="19"/>
        <v>0</v>
      </c>
      <c r="I54" s="21">
        <f t="shared" si="19"/>
        <v>44000</v>
      </c>
      <c r="J54" s="21">
        <f t="shared" si="19"/>
        <v>0</v>
      </c>
      <c r="K54" s="21">
        <f t="shared" si="19"/>
        <v>44000</v>
      </c>
      <c r="L54" s="21">
        <f t="shared" si="19"/>
        <v>0</v>
      </c>
      <c r="M54" s="21">
        <f t="shared" si="1"/>
        <v>44000</v>
      </c>
      <c r="N54" s="21">
        <f>N55</f>
        <v>46692.9</v>
      </c>
      <c r="O54" s="53">
        <f t="shared" si="3"/>
        <v>1.0612022727272727</v>
      </c>
    </row>
    <row r="55" spans="1:15" s="12" customFormat="1" ht="31.5">
      <c r="A55" s="15" t="s">
        <v>55</v>
      </c>
      <c r="B55" s="28" t="s">
        <v>54</v>
      </c>
      <c r="C55" s="16">
        <v>44000</v>
      </c>
      <c r="D55" s="16"/>
      <c r="E55" s="16">
        <f>C55+D55</f>
        <v>44000</v>
      </c>
      <c r="F55" s="16"/>
      <c r="G55" s="16">
        <f>E55+F55</f>
        <v>44000</v>
      </c>
      <c r="H55" s="18"/>
      <c r="I55" s="23">
        <f t="shared" si="10"/>
        <v>44000</v>
      </c>
      <c r="J55" s="18"/>
      <c r="K55" s="11">
        <f>SUM(I55,J55)</f>
        <v>44000</v>
      </c>
      <c r="L55" s="45"/>
      <c r="M55" s="23">
        <f t="shared" si="1"/>
        <v>44000</v>
      </c>
      <c r="N55" s="23">
        <v>46692.9</v>
      </c>
      <c r="O55" s="54">
        <f t="shared" si="3"/>
        <v>1.0612022727272727</v>
      </c>
    </row>
    <row r="56" spans="1:15" s="12" customFormat="1" ht="50.25" customHeight="1">
      <c r="A56" s="60" t="s">
        <v>7</v>
      </c>
      <c r="B56" s="62" t="s">
        <v>255</v>
      </c>
      <c r="C56" s="16"/>
      <c r="D56" s="16"/>
      <c r="E56" s="16"/>
      <c r="F56" s="16"/>
      <c r="G56" s="16"/>
      <c r="H56" s="18"/>
      <c r="I56" s="23"/>
      <c r="J56" s="18"/>
      <c r="K56" s="11"/>
      <c r="L56" s="45"/>
      <c r="M56" s="23"/>
      <c r="N56" s="59">
        <v>6341.78</v>
      </c>
      <c r="O56" s="54"/>
    </row>
    <row r="57" spans="1:15" s="12" customFormat="1" ht="20.25" customHeight="1">
      <c r="A57" s="60" t="s">
        <v>8</v>
      </c>
      <c r="B57" s="67" t="s">
        <v>256</v>
      </c>
      <c r="C57" s="16"/>
      <c r="D57" s="16"/>
      <c r="E57" s="16"/>
      <c r="F57" s="16"/>
      <c r="G57" s="16"/>
      <c r="H57" s="18"/>
      <c r="I57" s="23"/>
      <c r="J57" s="18"/>
      <c r="K57" s="11"/>
      <c r="L57" s="45"/>
      <c r="M57" s="23"/>
      <c r="N57" s="59">
        <v>-5721.6</v>
      </c>
      <c r="O57" s="54"/>
    </row>
    <row r="58" spans="1:15" ht="15.75">
      <c r="A58" s="26" t="s">
        <v>60</v>
      </c>
      <c r="B58" s="26" t="s">
        <v>48</v>
      </c>
      <c r="C58" s="27">
        <f>C59</f>
        <v>1986478</v>
      </c>
      <c r="D58" s="27">
        <f>D59</f>
        <v>677110</v>
      </c>
      <c r="E58" s="27">
        <v>2742483</v>
      </c>
      <c r="F58" s="27">
        <f aca="true" t="shared" si="20" ref="F58:N58">F59</f>
        <v>339242</v>
      </c>
      <c r="G58" s="21">
        <f t="shared" si="20"/>
        <v>3081725</v>
      </c>
      <c r="H58" s="21">
        <f t="shared" si="20"/>
        <v>1221214</v>
      </c>
      <c r="I58" s="21">
        <f t="shared" si="20"/>
        <v>4302939</v>
      </c>
      <c r="J58" s="21">
        <f t="shared" si="20"/>
        <v>0</v>
      </c>
      <c r="K58" s="21">
        <f t="shared" si="20"/>
        <v>4302939</v>
      </c>
      <c r="L58" s="21">
        <f t="shared" si="20"/>
        <v>216402</v>
      </c>
      <c r="M58" s="21">
        <f t="shared" si="1"/>
        <v>4519341</v>
      </c>
      <c r="N58" s="21">
        <f t="shared" si="20"/>
        <v>4483240</v>
      </c>
      <c r="O58" s="53">
        <f t="shared" si="3"/>
        <v>0.9920118884589589</v>
      </c>
    </row>
    <row r="59" spans="1:15" s="12" customFormat="1" ht="33" customHeight="1">
      <c r="A59" s="28" t="s">
        <v>66</v>
      </c>
      <c r="B59" s="28" t="s">
        <v>95</v>
      </c>
      <c r="C59" s="29">
        <f>302751+7436+1028877+82335+405079+160000</f>
        <v>1986478</v>
      </c>
      <c r="D59" s="29">
        <f>690000+43191+103919-160000</f>
        <v>677110</v>
      </c>
      <c r="E59" s="29">
        <v>2742483</v>
      </c>
      <c r="F59" s="29">
        <f>104320+604+86118+127+52370+146+6664+44893+44000</f>
        <v>339242</v>
      </c>
      <c r="G59" s="23">
        <f>G60+G81+G83</f>
        <v>3081725</v>
      </c>
      <c r="H59" s="23">
        <f>H60+H81+H83+H124</f>
        <v>1221214</v>
      </c>
      <c r="I59" s="23">
        <f>I60+I81+I83+I124</f>
        <v>4302939</v>
      </c>
      <c r="J59" s="18"/>
      <c r="K59" s="23">
        <f>K60+K83+K81+K125</f>
        <v>4302939</v>
      </c>
      <c r="L59" s="23">
        <f>L60+L83+L81+L125</f>
        <v>216402</v>
      </c>
      <c r="M59" s="23">
        <f>M60+M83+M81+M125</f>
        <v>4519341</v>
      </c>
      <c r="N59" s="23">
        <f>N60+N83+N81+N125</f>
        <v>4483240</v>
      </c>
      <c r="O59" s="54">
        <f t="shared" si="3"/>
        <v>0.9920118884589589</v>
      </c>
    </row>
    <row r="60" spans="1:15" s="14" customFormat="1" ht="31.5">
      <c r="A60" s="30" t="s">
        <v>189</v>
      </c>
      <c r="B60" s="31" t="s">
        <v>114</v>
      </c>
      <c r="C60" s="32"/>
      <c r="D60" s="18"/>
      <c r="E60" s="18" t="s">
        <v>108</v>
      </c>
      <c r="F60" s="18">
        <v>44000</v>
      </c>
      <c r="G60" s="33">
        <f aca="true" t="shared" si="21" ref="G60:L60">SUM(G61:G80)</f>
        <v>1660371</v>
      </c>
      <c r="H60" s="33">
        <f t="shared" si="21"/>
        <v>4902</v>
      </c>
      <c r="I60" s="33">
        <f t="shared" si="21"/>
        <v>1665273</v>
      </c>
      <c r="J60" s="33">
        <f t="shared" si="21"/>
        <v>0</v>
      </c>
      <c r="K60" s="33">
        <f t="shared" si="21"/>
        <v>1665273</v>
      </c>
      <c r="L60" s="33">
        <f t="shared" si="21"/>
        <v>-309302</v>
      </c>
      <c r="M60" s="33">
        <f aca="true" t="shared" si="22" ref="M60:M91">K60+L60</f>
        <v>1355971</v>
      </c>
      <c r="N60" s="33">
        <f>SUM(N61:N80)</f>
        <v>1352968</v>
      </c>
      <c r="O60" s="56">
        <f t="shared" si="3"/>
        <v>0.9977853508666483</v>
      </c>
    </row>
    <row r="61" spans="1:15" ht="48.75" customHeight="1">
      <c r="A61" s="34" t="s">
        <v>115</v>
      </c>
      <c r="B61" s="34" t="s">
        <v>206</v>
      </c>
      <c r="C61" s="24"/>
      <c r="D61" s="24"/>
      <c r="E61" s="24" t="s">
        <v>107</v>
      </c>
      <c r="F61" s="24">
        <f>SUM(F60:F60)</f>
        <v>44000</v>
      </c>
      <c r="G61" s="35">
        <v>986903</v>
      </c>
      <c r="H61" s="35"/>
      <c r="I61" s="35">
        <f aca="true" t="shared" si="23" ref="I61:I80">G61+H61</f>
        <v>986903</v>
      </c>
      <c r="J61" s="24"/>
      <c r="K61" s="11">
        <f aca="true" t="shared" si="24" ref="K61:K80">SUM(I61,J61)</f>
        <v>986903</v>
      </c>
      <c r="L61" s="46">
        <v>-333299</v>
      </c>
      <c r="M61" s="11">
        <f t="shared" si="22"/>
        <v>653604</v>
      </c>
      <c r="N61" s="11">
        <v>653604</v>
      </c>
      <c r="O61" s="49">
        <f t="shared" si="3"/>
        <v>1</v>
      </c>
    </row>
    <row r="62" spans="1:15" ht="64.5" customHeight="1">
      <c r="A62" s="34" t="s">
        <v>116</v>
      </c>
      <c r="B62" s="34" t="s">
        <v>207</v>
      </c>
      <c r="C62" s="24"/>
      <c r="D62" s="24"/>
      <c r="E62" s="24"/>
      <c r="F62" s="19">
        <f>F61-F128</f>
        <v>-295242</v>
      </c>
      <c r="G62" s="35">
        <v>28303</v>
      </c>
      <c r="H62" s="35"/>
      <c r="I62" s="35">
        <f t="shared" si="23"/>
        <v>28303</v>
      </c>
      <c r="J62" s="24"/>
      <c r="K62" s="11">
        <f t="shared" si="24"/>
        <v>28303</v>
      </c>
      <c r="L62" s="46">
        <v>3000</v>
      </c>
      <c r="M62" s="11">
        <f t="shared" si="22"/>
        <v>31303</v>
      </c>
      <c r="N62" s="11">
        <v>31303</v>
      </c>
      <c r="O62" s="49">
        <f t="shared" si="3"/>
        <v>1</v>
      </c>
    </row>
    <row r="63" spans="1:15" ht="63.75" customHeight="1">
      <c r="A63" s="34" t="s">
        <v>117</v>
      </c>
      <c r="B63" s="34" t="s">
        <v>208</v>
      </c>
      <c r="C63" s="24"/>
      <c r="D63" s="24"/>
      <c r="E63" s="24"/>
      <c r="F63" s="24"/>
      <c r="G63" s="35">
        <v>52370</v>
      </c>
      <c r="H63" s="35"/>
      <c r="I63" s="35">
        <f t="shared" si="23"/>
        <v>52370</v>
      </c>
      <c r="J63" s="24"/>
      <c r="K63" s="11">
        <f t="shared" si="24"/>
        <v>52370</v>
      </c>
      <c r="L63" s="46"/>
      <c r="M63" s="11">
        <f t="shared" si="22"/>
        <v>52370</v>
      </c>
      <c r="N63" s="11">
        <v>51257</v>
      </c>
      <c r="O63" s="49">
        <f t="shared" si="3"/>
        <v>0.9787473744510216</v>
      </c>
    </row>
    <row r="64" spans="1:15" ht="64.5" customHeight="1">
      <c r="A64" s="34" t="s">
        <v>118</v>
      </c>
      <c r="B64" s="34" t="s">
        <v>209</v>
      </c>
      <c r="C64" s="24"/>
      <c r="D64" s="24"/>
      <c r="E64" s="24"/>
      <c r="F64" s="24"/>
      <c r="G64" s="35">
        <v>532</v>
      </c>
      <c r="H64" s="35"/>
      <c r="I64" s="35">
        <f t="shared" si="23"/>
        <v>532</v>
      </c>
      <c r="J64" s="24"/>
      <c r="K64" s="11">
        <f t="shared" si="24"/>
        <v>532</v>
      </c>
      <c r="L64" s="46"/>
      <c r="M64" s="11">
        <f t="shared" si="22"/>
        <v>532</v>
      </c>
      <c r="N64" s="11">
        <v>532</v>
      </c>
      <c r="O64" s="49">
        <f t="shared" si="3"/>
        <v>1</v>
      </c>
    </row>
    <row r="65" spans="1:15" ht="64.5" customHeight="1">
      <c r="A65" s="34" t="s">
        <v>119</v>
      </c>
      <c r="B65" s="34" t="s">
        <v>210</v>
      </c>
      <c r="C65" s="24"/>
      <c r="D65" s="24"/>
      <c r="E65" s="24"/>
      <c r="F65" s="24"/>
      <c r="G65" s="35">
        <v>57</v>
      </c>
      <c r="H65" s="35"/>
      <c r="I65" s="35">
        <f t="shared" si="23"/>
        <v>57</v>
      </c>
      <c r="J65" s="24"/>
      <c r="K65" s="11">
        <f t="shared" si="24"/>
        <v>57</v>
      </c>
      <c r="L65" s="46"/>
      <c r="M65" s="11">
        <f t="shared" si="22"/>
        <v>57</v>
      </c>
      <c r="N65" s="11">
        <v>0</v>
      </c>
      <c r="O65" s="49">
        <f t="shared" si="3"/>
        <v>0</v>
      </c>
    </row>
    <row r="66" spans="1:15" ht="111" customHeight="1">
      <c r="A66" s="34" t="s">
        <v>120</v>
      </c>
      <c r="B66" s="34" t="s">
        <v>231</v>
      </c>
      <c r="C66" s="24"/>
      <c r="D66" s="24"/>
      <c r="E66" s="24"/>
      <c r="F66" s="24"/>
      <c r="G66" s="35">
        <v>1188</v>
      </c>
      <c r="H66" s="35"/>
      <c r="I66" s="35">
        <f t="shared" si="23"/>
        <v>1188</v>
      </c>
      <c r="J66" s="24"/>
      <c r="K66" s="11">
        <f t="shared" si="24"/>
        <v>1188</v>
      </c>
      <c r="L66" s="46"/>
      <c r="M66" s="11">
        <f t="shared" si="22"/>
        <v>1188</v>
      </c>
      <c r="N66" s="11">
        <v>0</v>
      </c>
      <c r="O66" s="49">
        <f t="shared" si="3"/>
        <v>0</v>
      </c>
    </row>
    <row r="67" spans="1:15" ht="110.25">
      <c r="A67" s="34" t="s">
        <v>121</v>
      </c>
      <c r="B67" s="34" t="s">
        <v>211</v>
      </c>
      <c r="C67" s="24"/>
      <c r="D67" s="24"/>
      <c r="E67" s="24"/>
      <c r="F67" s="24"/>
      <c r="G67" s="35">
        <v>43191</v>
      </c>
      <c r="H67" s="35"/>
      <c r="I67" s="35">
        <f t="shared" si="23"/>
        <v>43191</v>
      </c>
      <c r="J67" s="24"/>
      <c r="K67" s="11">
        <f t="shared" si="24"/>
        <v>43191</v>
      </c>
      <c r="L67" s="46">
        <v>31</v>
      </c>
      <c r="M67" s="11">
        <f t="shared" si="22"/>
        <v>43222</v>
      </c>
      <c r="N67" s="11">
        <v>43221</v>
      </c>
      <c r="O67" s="49">
        <f t="shared" si="3"/>
        <v>0.9999768636342603</v>
      </c>
    </row>
    <row r="68" spans="1:15" ht="141.75">
      <c r="A68" s="34" t="s">
        <v>122</v>
      </c>
      <c r="B68" s="34" t="s">
        <v>212</v>
      </c>
      <c r="C68" s="24"/>
      <c r="D68" s="24"/>
      <c r="E68" s="24"/>
      <c r="F68" s="24"/>
      <c r="G68" s="35">
        <v>70</v>
      </c>
      <c r="H68" s="35"/>
      <c r="I68" s="35">
        <f t="shared" si="23"/>
        <v>70</v>
      </c>
      <c r="J68" s="24"/>
      <c r="K68" s="11">
        <f t="shared" si="24"/>
        <v>70</v>
      </c>
      <c r="L68" s="46"/>
      <c r="M68" s="11">
        <f t="shared" si="22"/>
        <v>70</v>
      </c>
      <c r="N68" s="11">
        <v>70</v>
      </c>
      <c r="O68" s="49">
        <f t="shared" si="3"/>
        <v>1</v>
      </c>
    </row>
    <row r="69" spans="1:15" ht="81.75" customHeight="1">
      <c r="A69" s="34" t="s">
        <v>123</v>
      </c>
      <c r="B69" s="34" t="s">
        <v>213</v>
      </c>
      <c r="C69" s="24"/>
      <c r="D69" s="24"/>
      <c r="E69" s="24"/>
      <c r="F69" s="24"/>
      <c r="G69" s="35">
        <v>146</v>
      </c>
      <c r="H69" s="35">
        <v>9</v>
      </c>
      <c r="I69" s="35">
        <f t="shared" si="23"/>
        <v>155</v>
      </c>
      <c r="J69" s="24"/>
      <c r="K69" s="11">
        <f t="shared" si="24"/>
        <v>155</v>
      </c>
      <c r="L69" s="46"/>
      <c r="M69" s="11">
        <f t="shared" si="22"/>
        <v>155</v>
      </c>
      <c r="N69" s="11">
        <v>154</v>
      </c>
      <c r="O69" s="49">
        <f t="shared" si="3"/>
        <v>0.9935483870967742</v>
      </c>
    </row>
    <row r="70" spans="1:15" ht="96" customHeight="1">
      <c r="A70" s="34" t="s">
        <v>124</v>
      </c>
      <c r="B70" s="34" t="s">
        <v>217</v>
      </c>
      <c r="C70" s="24"/>
      <c r="D70" s="24"/>
      <c r="E70" s="24"/>
      <c r="F70" s="24"/>
      <c r="G70" s="35">
        <v>2111</v>
      </c>
      <c r="H70" s="35"/>
      <c r="I70" s="35">
        <f t="shared" si="23"/>
        <v>2111</v>
      </c>
      <c r="J70" s="24"/>
      <c r="K70" s="11">
        <f t="shared" si="24"/>
        <v>2111</v>
      </c>
      <c r="L70" s="46">
        <v>-1567</v>
      </c>
      <c r="M70" s="11">
        <f t="shared" si="22"/>
        <v>544</v>
      </c>
      <c r="N70" s="11">
        <v>0</v>
      </c>
      <c r="O70" s="49">
        <f t="shared" si="3"/>
        <v>0</v>
      </c>
    </row>
    <row r="71" spans="1:15" ht="32.25" customHeight="1">
      <c r="A71" s="34" t="s">
        <v>125</v>
      </c>
      <c r="B71" s="34" t="s">
        <v>218</v>
      </c>
      <c r="C71" s="24"/>
      <c r="D71" s="24"/>
      <c r="E71" s="24"/>
      <c r="F71" s="24"/>
      <c r="G71" s="35">
        <v>7400</v>
      </c>
      <c r="H71" s="35"/>
      <c r="I71" s="35">
        <f t="shared" si="23"/>
        <v>7400</v>
      </c>
      <c r="J71" s="24"/>
      <c r="K71" s="11">
        <f t="shared" si="24"/>
        <v>7400</v>
      </c>
      <c r="L71" s="46"/>
      <c r="M71" s="11">
        <f t="shared" si="22"/>
        <v>7400</v>
      </c>
      <c r="N71" s="11">
        <v>7400</v>
      </c>
      <c r="O71" s="49">
        <f t="shared" si="3"/>
        <v>1</v>
      </c>
    </row>
    <row r="72" spans="1:15" ht="63" customHeight="1">
      <c r="A72" s="34" t="s">
        <v>126</v>
      </c>
      <c r="B72" s="34" t="s">
        <v>219</v>
      </c>
      <c r="C72" s="24"/>
      <c r="D72" s="24"/>
      <c r="E72" s="24"/>
      <c r="F72" s="24"/>
      <c r="G72" s="35">
        <v>7436</v>
      </c>
      <c r="H72" s="35"/>
      <c r="I72" s="35">
        <f t="shared" si="23"/>
        <v>7436</v>
      </c>
      <c r="J72" s="24"/>
      <c r="K72" s="11">
        <f t="shared" si="24"/>
        <v>7436</v>
      </c>
      <c r="L72" s="48">
        <v>903</v>
      </c>
      <c r="M72" s="11">
        <f t="shared" si="22"/>
        <v>8339</v>
      </c>
      <c r="N72" s="11">
        <v>8339</v>
      </c>
      <c r="O72" s="49">
        <f t="shared" si="3"/>
        <v>1</v>
      </c>
    </row>
    <row r="73" spans="1:15" ht="48" customHeight="1">
      <c r="A73" s="34" t="s">
        <v>127</v>
      </c>
      <c r="B73" s="34" t="s">
        <v>220</v>
      </c>
      <c r="C73" s="24"/>
      <c r="D73" s="24"/>
      <c r="E73" s="24"/>
      <c r="F73" s="24"/>
      <c r="G73" s="35">
        <v>41974</v>
      </c>
      <c r="H73" s="35"/>
      <c r="I73" s="35">
        <f t="shared" si="23"/>
        <v>41974</v>
      </c>
      <c r="J73" s="24"/>
      <c r="K73" s="11">
        <f t="shared" si="24"/>
        <v>41974</v>
      </c>
      <c r="L73" s="46"/>
      <c r="M73" s="11">
        <f t="shared" si="22"/>
        <v>41974</v>
      </c>
      <c r="N73" s="11">
        <v>41974</v>
      </c>
      <c r="O73" s="49">
        <f t="shared" si="3"/>
        <v>1</v>
      </c>
    </row>
    <row r="74" spans="1:15" ht="174.75" customHeight="1">
      <c r="A74" s="34" t="s">
        <v>128</v>
      </c>
      <c r="B74" s="34" t="s">
        <v>221</v>
      </c>
      <c r="C74" s="24"/>
      <c r="D74" s="24"/>
      <c r="E74" s="24"/>
      <c r="F74" s="24"/>
      <c r="G74" s="35">
        <v>48221</v>
      </c>
      <c r="H74" s="35"/>
      <c r="I74" s="35">
        <f t="shared" si="23"/>
        <v>48221</v>
      </c>
      <c r="J74" s="24"/>
      <c r="K74" s="11">
        <f t="shared" si="24"/>
        <v>48221</v>
      </c>
      <c r="L74" s="46"/>
      <c r="M74" s="11">
        <f t="shared" si="22"/>
        <v>48221</v>
      </c>
      <c r="N74" s="11">
        <v>48220</v>
      </c>
      <c r="O74" s="49">
        <f t="shared" si="3"/>
        <v>0.9999792621471972</v>
      </c>
    </row>
    <row r="75" spans="1:15" ht="78.75">
      <c r="A75" s="34" t="s">
        <v>129</v>
      </c>
      <c r="B75" s="34" t="s">
        <v>130</v>
      </c>
      <c r="C75" s="24"/>
      <c r="D75" s="24"/>
      <c r="E75" s="24"/>
      <c r="F75" s="24"/>
      <c r="G75" s="35">
        <v>5404</v>
      </c>
      <c r="H75" s="35">
        <v>52</v>
      </c>
      <c r="I75" s="35">
        <f t="shared" si="23"/>
        <v>5456</v>
      </c>
      <c r="J75" s="24"/>
      <c r="K75" s="11">
        <f t="shared" si="24"/>
        <v>5456</v>
      </c>
      <c r="L75" s="46">
        <f>110+20</f>
        <v>130</v>
      </c>
      <c r="M75" s="11">
        <f t="shared" si="22"/>
        <v>5586</v>
      </c>
      <c r="N75" s="11">
        <v>5619</v>
      </c>
      <c r="O75" s="49">
        <f t="shared" si="3"/>
        <v>1.0059076262083781</v>
      </c>
    </row>
    <row r="76" spans="1:15" ht="50.25" customHeight="1">
      <c r="A76" s="34" t="s">
        <v>131</v>
      </c>
      <c r="B76" s="34" t="s">
        <v>132</v>
      </c>
      <c r="C76" s="24"/>
      <c r="D76" s="24"/>
      <c r="E76" s="24"/>
      <c r="F76" s="24"/>
      <c r="G76" s="35">
        <v>82110</v>
      </c>
      <c r="H76" s="35">
        <v>4841</v>
      </c>
      <c r="I76" s="35">
        <f t="shared" si="23"/>
        <v>86951</v>
      </c>
      <c r="J76" s="24"/>
      <c r="K76" s="11">
        <f t="shared" si="24"/>
        <v>86951</v>
      </c>
      <c r="L76" s="46">
        <v>21500</v>
      </c>
      <c r="M76" s="11">
        <f t="shared" si="22"/>
        <v>108451</v>
      </c>
      <c r="N76" s="11">
        <v>108451</v>
      </c>
      <c r="O76" s="49">
        <f t="shared" si="3"/>
        <v>1</v>
      </c>
    </row>
    <row r="77" spans="1:15" ht="48.75" customHeight="1">
      <c r="A77" s="34" t="s">
        <v>133</v>
      </c>
      <c r="B77" s="34" t="s">
        <v>222</v>
      </c>
      <c r="C77" s="24"/>
      <c r="D77" s="24"/>
      <c r="E77" s="24"/>
      <c r="F77" s="24"/>
      <c r="G77" s="35">
        <v>9501</v>
      </c>
      <c r="H77" s="35"/>
      <c r="I77" s="35">
        <f t="shared" si="23"/>
        <v>9501</v>
      </c>
      <c r="J77" s="24"/>
      <c r="K77" s="11">
        <f t="shared" si="24"/>
        <v>9501</v>
      </c>
      <c r="L77" s="46"/>
      <c r="M77" s="11">
        <f t="shared" si="22"/>
        <v>9501</v>
      </c>
      <c r="N77" s="11">
        <v>9501</v>
      </c>
      <c r="O77" s="49">
        <f t="shared" si="3"/>
        <v>1</v>
      </c>
    </row>
    <row r="78" spans="1:15" ht="63">
      <c r="A78" s="34" t="s">
        <v>134</v>
      </c>
      <c r="B78" s="34" t="s">
        <v>135</v>
      </c>
      <c r="C78" s="24"/>
      <c r="D78" s="24"/>
      <c r="E78" s="24"/>
      <c r="F78" s="24"/>
      <c r="G78" s="35">
        <v>6664</v>
      </c>
      <c r="H78" s="35"/>
      <c r="I78" s="35">
        <f t="shared" si="23"/>
        <v>6664</v>
      </c>
      <c r="J78" s="24"/>
      <c r="K78" s="11">
        <f t="shared" si="24"/>
        <v>6664</v>
      </c>
      <c r="L78" s="46"/>
      <c r="M78" s="11">
        <f t="shared" si="22"/>
        <v>6664</v>
      </c>
      <c r="N78" s="11">
        <v>5998</v>
      </c>
      <c r="O78" s="49">
        <f t="shared" si="3"/>
        <v>0.9000600240096038</v>
      </c>
    </row>
    <row r="79" spans="1:15" ht="128.25" customHeight="1">
      <c r="A79" s="34" t="s">
        <v>136</v>
      </c>
      <c r="B79" s="34" t="s">
        <v>228</v>
      </c>
      <c r="C79" s="24"/>
      <c r="D79" s="24"/>
      <c r="E79" s="24"/>
      <c r="F79" s="24"/>
      <c r="G79" s="35">
        <v>55698</v>
      </c>
      <c r="H79" s="35"/>
      <c r="I79" s="35">
        <f t="shared" si="23"/>
        <v>55698</v>
      </c>
      <c r="J79" s="24"/>
      <c r="K79" s="11">
        <f t="shared" si="24"/>
        <v>55698</v>
      </c>
      <c r="L79" s="46"/>
      <c r="M79" s="11">
        <f t="shared" si="22"/>
        <v>55698</v>
      </c>
      <c r="N79" s="11">
        <v>56234</v>
      </c>
      <c r="O79" s="49">
        <f t="shared" si="3"/>
        <v>1.0096233257926677</v>
      </c>
    </row>
    <row r="80" spans="1:15" ht="78.75" customHeight="1">
      <c r="A80" s="34" t="s">
        <v>137</v>
      </c>
      <c r="B80" s="34" t="s">
        <v>223</v>
      </c>
      <c r="C80" s="24"/>
      <c r="D80" s="24"/>
      <c r="E80" s="24"/>
      <c r="F80" s="24"/>
      <c r="G80" s="35">
        <v>281092</v>
      </c>
      <c r="H80" s="35"/>
      <c r="I80" s="35">
        <f t="shared" si="23"/>
        <v>281092</v>
      </c>
      <c r="J80" s="24"/>
      <c r="K80" s="11">
        <f t="shared" si="24"/>
        <v>281092</v>
      </c>
      <c r="L80" s="46"/>
      <c r="M80" s="11">
        <f t="shared" si="22"/>
        <v>281092</v>
      </c>
      <c r="N80" s="11">
        <v>281091</v>
      </c>
      <c r="O80" s="49">
        <f t="shared" si="3"/>
        <v>0.9999964424458896</v>
      </c>
    </row>
    <row r="81" spans="1:15" ht="18" customHeight="1">
      <c r="A81" s="31" t="s">
        <v>188</v>
      </c>
      <c r="B81" s="31" t="s">
        <v>138</v>
      </c>
      <c r="C81" s="32"/>
      <c r="D81" s="18"/>
      <c r="E81" s="18"/>
      <c r="F81" s="18"/>
      <c r="G81" s="36">
        <f aca="true" t="shared" si="25" ref="G81:L81">G82</f>
        <v>127</v>
      </c>
      <c r="H81" s="36">
        <f t="shared" si="25"/>
        <v>45</v>
      </c>
      <c r="I81" s="36">
        <f t="shared" si="25"/>
        <v>172</v>
      </c>
      <c r="J81" s="36">
        <f t="shared" si="25"/>
        <v>0</v>
      </c>
      <c r="K81" s="36">
        <f t="shared" si="25"/>
        <v>172</v>
      </c>
      <c r="L81" s="47">
        <f t="shared" si="25"/>
        <v>96</v>
      </c>
      <c r="M81" s="36">
        <f t="shared" si="22"/>
        <v>268</v>
      </c>
      <c r="N81" s="36">
        <f>N82</f>
        <v>267</v>
      </c>
      <c r="O81" s="57">
        <f aca="true" t="shared" si="26" ref="O81:O128">N81/M81</f>
        <v>0.996268656716418</v>
      </c>
    </row>
    <row r="82" spans="1:15" ht="31.5">
      <c r="A82" s="34" t="s">
        <v>139</v>
      </c>
      <c r="B82" s="34" t="s">
        <v>140</v>
      </c>
      <c r="C82" s="24"/>
      <c r="D82" s="24"/>
      <c r="E82" s="24"/>
      <c r="F82" s="24"/>
      <c r="G82" s="35">
        <v>127</v>
      </c>
      <c r="H82" s="35">
        <v>45</v>
      </c>
      <c r="I82" s="35">
        <f>G82+H82</f>
        <v>172</v>
      </c>
      <c r="J82" s="24"/>
      <c r="K82" s="11">
        <f>SUM(I82,J82)</f>
        <v>172</v>
      </c>
      <c r="L82" s="46">
        <v>96</v>
      </c>
      <c r="M82" s="11">
        <f t="shared" si="22"/>
        <v>268</v>
      </c>
      <c r="N82" s="11">
        <v>267</v>
      </c>
      <c r="O82" s="49">
        <f t="shared" si="26"/>
        <v>0.996268656716418</v>
      </c>
    </row>
    <row r="83" spans="1:15" ht="31.5">
      <c r="A83" s="31" t="s">
        <v>141</v>
      </c>
      <c r="B83" s="31" t="s">
        <v>142</v>
      </c>
      <c r="C83" s="32"/>
      <c r="D83" s="18"/>
      <c r="E83" s="18"/>
      <c r="F83" s="18"/>
      <c r="G83" s="36">
        <f>SUM(G84:G118)</f>
        <v>1421227</v>
      </c>
      <c r="H83" s="36">
        <f>SUM(H84:H123)</f>
        <v>1216267</v>
      </c>
      <c r="I83" s="36">
        <f>SUM(I84:I123)</f>
        <v>2637494</v>
      </c>
      <c r="J83" s="36">
        <f>SUM(J84:J123)</f>
        <v>0</v>
      </c>
      <c r="K83" s="33">
        <f>SUM(K84:K123)</f>
        <v>2637494</v>
      </c>
      <c r="L83" s="47">
        <f>SUM(L84:L123)</f>
        <v>482499</v>
      </c>
      <c r="M83" s="40">
        <f t="shared" si="22"/>
        <v>3119993</v>
      </c>
      <c r="N83" s="40">
        <f>SUM(N84:N124)</f>
        <v>3101527</v>
      </c>
      <c r="O83" s="58">
        <f t="shared" si="26"/>
        <v>0.9940813969774932</v>
      </c>
    </row>
    <row r="84" spans="1:15" ht="48.75" customHeight="1">
      <c r="A84" s="34" t="s">
        <v>143</v>
      </c>
      <c r="B84" s="34" t="s">
        <v>144</v>
      </c>
      <c r="C84" s="24"/>
      <c r="D84" s="24"/>
      <c r="E84" s="24"/>
      <c r="F84" s="24"/>
      <c r="G84" s="35">
        <v>10951</v>
      </c>
      <c r="H84" s="35"/>
      <c r="I84" s="35">
        <f>G84+H84</f>
        <v>10951</v>
      </c>
      <c r="J84" s="24"/>
      <c r="K84" s="11">
        <f>SUM(I84,J84)</f>
        <v>10951</v>
      </c>
      <c r="L84" s="46"/>
      <c r="M84" s="11">
        <f t="shared" si="22"/>
        <v>10951</v>
      </c>
      <c r="N84" s="11">
        <v>10950</v>
      </c>
      <c r="O84" s="49">
        <f t="shared" si="26"/>
        <v>0.9999086841384348</v>
      </c>
    </row>
    <row r="85" spans="1:15" ht="49.5" customHeight="1">
      <c r="A85" s="34" t="s">
        <v>145</v>
      </c>
      <c r="B85" s="34" t="s">
        <v>224</v>
      </c>
      <c r="C85" s="24"/>
      <c r="D85" s="24"/>
      <c r="E85" s="24"/>
      <c r="F85" s="24"/>
      <c r="G85" s="35">
        <v>11570</v>
      </c>
      <c r="H85" s="35"/>
      <c r="I85" s="35">
        <f aca="true" t="shared" si="27" ref="I85:I117">G85+H85</f>
        <v>11570</v>
      </c>
      <c r="J85" s="24"/>
      <c r="K85" s="11">
        <f>SUM(I85,J85)</f>
        <v>11570</v>
      </c>
      <c r="L85" s="46"/>
      <c r="M85" s="11">
        <f t="shared" si="22"/>
        <v>11570</v>
      </c>
      <c r="N85" s="11">
        <v>11570</v>
      </c>
      <c r="O85" s="49">
        <f t="shared" si="26"/>
        <v>1</v>
      </c>
    </row>
    <row r="86" spans="1:15" ht="96.75" customHeight="1">
      <c r="A86" s="34" t="s">
        <v>146</v>
      </c>
      <c r="B86" s="34" t="s">
        <v>225</v>
      </c>
      <c r="C86" s="24"/>
      <c r="D86" s="24"/>
      <c r="E86" s="24"/>
      <c r="F86" s="24"/>
      <c r="G86" s="35">
        <v>8326</v>
      </c>
      <c r="H86" s="35"/>
      <c r="I86" s="35">
        <f t="shared" si="27"/>
        <v>8326</v>
      </c>
      <c r="J86" s="24"/>
      <c r="K86" s="11">
        <f aca="true" t="shared" si="28" ref="K86:K123">SUM(I86,J86)</f>
        <v>8326</v>
      </c>
      <c r="L86" s="46"/>
      <c r="M86" s="11">
        <f t="shared" si="22"/>
        <v>8326</v>
      </c>
      <c r="N86" s="11">
        <v>8326</v>
      </c>
      <c r="O86" s="49">
        <f t="shared" si="26"/>
        <v>1</v>
      </c>
    </row>
    <row r="87" spans="1:15" ht="67.5" customHeight="1">
      <c r="A87" s="34" t="s">
        <v>147</v>
      </c>
      <c r="B87" s="34" t="s">
        <v>148</v>
      </c>
      <c r="C87" s="24"/>
      <c r="D87" s="24"/>
      <c r="E87" s="24"/>
      <c r="F87" s="24"/>
      <c r="G87" s="35"/>
      <c r="H87" s="35">
        <v>24346</v>
      </c>
      <c r="I87" s="35">
        <f t="shared" si="27"/>
        <v>24346</v>
      </c>
      <c r="J87" s="24"/>
      <c r="K87" s="11">
        <f t="shared" si="28"/>
        <v>24346</v>
      </c>
      <c r="L87" s="46">
        <v>45222</v>
      </c>
      <c r="M87" s="11">
        <f t="shared" si="22"/>
        <v>69568</v>
      </c>
      <c r="N87" s="11">
        <v>69568</v>
      </c>
      <c r="O87" s="49">
        <f t="shared" si="26"/>
        <v>1</v>
      </c>
    </row>
    <row r="88" spans="1:15" ht="47.25">
      <c r="A88" s="34" t="s">
        <v>149</v>
      </c>
      <c r="B88" s="34" t="s">
        <v>214</v>
      </c>
      <c r="C88" s="24"/>
      <c r="D88" s="24"/>
      <c r="E88" s="24"/>
      <c r="F88" s="24"/>
      <c r="G88" s="35">
        <v>34000</v>
      </c>
      <c r="H88" s="35"/>
      <c r="I88" s="35">
        <f t="shared" si="27"/>
        <v>34000</v>
      </c>
      <c r="J88" s="24"/>
      <c r="K88" s="11">
        <f t="shared" si="28"/>
        <v>34000</v>
      </c>
      <c r="L88" s="46">
        <v>6000</v>
      </c>
      <c r="M88" s="11">
        <f t="shared" si="22"/>
        <v>40000</v>
      </c>
      <c r="N88" s="11">
        <v>40000</v>
      </c>
      <c r="O88" s="49">
        <f t="shared" si="26"/>
        <v>1</v>
      </c>
    </row>
    <row r="89" spans="1:15" ht="47.25">
      <c r="A89" s="34" t="s">
        <v>242</v>
      </c>
      <c r="B89" s="34" t="s">
        <v>243</v>
      </c>
      <c r="C89" s="24"/>
      <c r="D89" s="24"/>
      <c r="E89" s="24"/>
      <c r="F89" s="24"/>
      <c r="G89" s="35"/>
      <c r="H89" s="35"/>
      <c r="I89" s="35"/>
      <c r="J89" s="24"/>
      <c r="K89" s="11"/>
      <c r="L89" s="46">
        <f>2000+37210</f>
        <v>39210</v>
      </c>
      <c r="M89" s="11">
        <f t="shared" si="22"/>
        <v>39210</v>
      </c>
      <c r="N89" s="11">
        <v>39210</v>
      </c>
      <c r="O89" s="49">
        <f t="shared" si="26"/>
        <v>1</v>
      </c>
    </row>
    <row r="90" spans="1:15" ht="32.25" customHeight="1">
      <c r="A90" s="34" t="s">
        <v>150</v>
      </c>
      <c r="B90" s="34" t="s">
        <v>193</v>
      </c>
      <c r="C90" s="24"/>
      <c r="D90" s="24"/>
      <c r="E90" s="24"/>
      <c r="F90" s="24"/>
      <c r="G90" s="35"/>
      <c r="H90" s="35">
        <v>98</v>
      </c>
      <c r="I90" s="35">
        <f t="shared" si="27"/>
        <v>98</v>
      </c>
      <c r="J90" s="24"/>
      <c r="K90" s="11">
        <f t="shared" si="28"/>
        <v>98</v>
      </c>
      <c r="L90" s="46"/>
      <c r="M90" s="11">
        <f t="shared" si="22"/>
        <v>98</v>
      </c>
      <c r="N90" s="11">
        <v>98</v>
      </c>
      <c r="O90" s="49">
        <f t="shared" si="26"/>
        <v>1</v>
      </c>
    </row>
    <row r="91" spans="1:15" ht="46.5" customHeight="1">
      <c r="A91" s="34" t="s">
        <v>244</v>
      </c>
      <c r="B91" s="34" t="s">
        <v>245</v>
      </c>
      <c r="C91" s="24"/>
      <c r="D91" s="24"/>
      <c r="E91" s="24"/>
      <c r="F91" s="24"/>
      <c r="G91" s="35"/>
      <c r="H91" s="35"/>
      <c r="I91" s="35"/>
      <c r="J91" s="24"/>
      <c r="K91" s="11"/>
      <c r="L91" s="46">
        <v>2647</v>
      </c>
      <c r="M91" s="11">
        <f t="shared" si="22"/>
        <v>2647</v>
      </c>
      <c r="N91" s="11">
        <v>2680</v>
      </c>
      <c r="O91" s="49">
        <f t="shared" si="26"/>
        <v>1.0124669437098601</v>
      </c>
    </row>
    <row r="92" spans="1:15" ht="47.25">
      <c r="A92" s="34" t="s">
        <v>151</v>
      </c>
      <c r="B92" s="34" t="s">
        <v>152</v>
      </c>
      <c r="C92" s="24"/>
      <c r="D92" s="24"/>
      <c r="E92" s="24"/>
      <c r="F92" s="24"/>
      <c r="G92" s="35"/>
      <c r="H92" s="35">
        <v>1410</v>
      </c>
      <c r="I92" s="35">
        <f t="shared" si="27"/>
        <v>1410</v>
      </c>
      <c r="J92" s="24"/>
      <c r="K92" s="11">
        <f t="shared" si="28"/>
        <v>1410</v>
      </c>
      <c r="L92" s="46"/>
      <c r="M92" s="11">
        <f aca="true" t="shared" si="29" ref="M92:M124">K92+L92</f>
        <v>1410</v>
      </c>
      <c r="N92" s="11">
        <v>1410</v>
      </c>
      <c r="O92" s="49">
        <f t="shared" si="26"/>
        <v>1</v>
      </c>
    </row>
    <row r="93" spans="1:15" ht="63">
      <c r="A93" s="34" t="s">
        <v>153</v>
      </c>
      <c r="B93" s="34" t="s">
        <v>194</v>
      </c>
      <c r="C93" s="24"/>
      <c r="D93" s="24"/>
      <c r="E93" s="24"/>
      <c r="F93" s="24"/>
      <c r="G93" s="35"/>
      <c r="H93" s="35">
        <v>6510</v>
      </c>
      <c r="I93" s="35">
        <f t="shared" si="27"/>
        <v>6510</v>
      </c>
      <c r="J93" s="24"/>
      <c r="K93" s="11">
        <f t="shared" si="28"/>
        <v>6510</v>
      </c>
      <c r="L93" s="46"/>
      <c r="M93" s="11">
        <f t="shared" si="29"/>
        <v>6510</v>
      </c>
      <c r="N93" s="11">
        <v>6509</v>
      </c>
      <c r="O93" s="49">
        <f t="shared" si="26"/>
        <v>0.9998463901689708</v>
      </c>
    </row>
    <row r="94" spans="1:15" ht="96.75" customHeight="1">
      <c r="A94" s="34" t="s">
        <v>154</v>
      </c>
      <c r="B94" s="34" t="s">
        <v>195</v>
      </c>
      <c r="C94" s="24"/>
      <c r="D94" s="24"/>
      <c r="E94" s="24"/>
      <c r="F94" s="24"/>
      <c r="G94" s="35">
        <v>1000</v>
      </c>
      <c r="H94" s="35"/>
      <c r="I94" s="35">
        <f t="shared" si="27"/>
        <v>1000</v>
      </c>
      <c r="J94" s="24"/>
      <c r="K94" s="11">
        <f t="shared" si="28"/>
        <v>1000</v>
      </c>
      <c r="L94" s="46">
        <v>404</v>
      </c>
      <c r="M94" s="11">
        <f t="shared" si="29"/>
        <v>1404</v>
      </c>
      <c r="N94" s="11">
        <v>1403</v>
      </c>
      <c r="O94" s="49">
        <f t="shared" si="26"/>
        <v>0.9992877492877493</v>
      </c>
    </row>
    <row r="95" spans="1:15" ht="63" customHeight="1">
      <c r="A95" s="34" t="s">
        <v>155</v>
      </c>
      <c r="B95" s="34" t="s">
        <v>196</v>
      </c>
      <c r="C95" s="24"/>
      <c r="D95" s="24"/>
      <c r="E95" s="24"/>
      <c r="F95" s="24"/>
      <c r="G95" s="35">
        <v>22000</v>
      </c>
      <c r="H95" s="35"/>
      <c r="I95" s="35">
        <f t="shared" si="27"/>
        <v>22000</v>
      </c>
      <c r="J95" s="24"/>
      <c r="K95" s="11">
        <f t="shared" si="28"/>
        <v>22000</v>
      </c>
      <c r="L95" s="46"/>
      <c r="M95" s="11">
        <f t="shared" si="29"/>
        <v>22000</v>
      </c>
      <c r="N95" s="11">
        <v>22000</v>
      </c>
      <c r="O95" s="49">
        <f t="shared" si="26"/>
        <v>1</v>
      </c>
    </row>
    <row r="96" spans="1:15" ht="80.25" customHeight="1">
      <c r="A96" s="34" t="s">
        <v>156</v>
      </c>
      <c r="B96" s="34" t="s">
        <v>197</v>
      </c>
      <c r="C96" s="24"/>
      <c r="D96" s="24"/>
      <c r="E96" s="24"/>
      <c r="F96" s="24"/>
      <c r="G96" s="35">
        <v>109457</v>
      </c>
      <c r="H96" s="35">
        <v>-25415</v>
      </c>
      <c r="I96" s="35">
        <f t="shared" si="27"/>
        <v>84042</v>
      </c>
      <c r="J96" s="24"/>
      <c r="K96" s="11">
        <f t="shared" si="28"/>
        <v>84042</v>
      </c>
      <c r="L96" s="46">
        <v>-18125</v>
      </c>
      <c r="M96" s="11">
        <f t="shared" si="29"/>
        <v>65917</v>
      </c>
      <c r="N96" s="11">
        <v>54954</v>
      </c>
      <c r="O96" s="49">
        <f t="shared" si="26"/>
        <v>0.8336847854119575</v>
      </c>
    </row>
    <row r="97" spans="1:15" ht="46.5" customHeight="1">
      <c r="A97" s="34" t="s">
        <v>157</v>
      </c>
      <c r="B97" s="34" t="s">
        <v>158</v>
      </c>
      <c r="C97" s="24"/>
      <c r="D97" s="24"/>
      <c r="E97" s="24"/>
      <c r="F97" s="24"/>
      <c r="G97" s="35">
        <v>31715</v>
      </c>
      <c r="H97" s="35"/>
      <c r="I97" s="35">
        <f t="shared" si="27"/>
        <v>31715</v>
      </c>
      <c r="J97" s="24"/>
      <c r="K97" s="11">
        <f t="shared" si="28"/>
        <v>31715</v>
      </c>
      <c r="L97" s="46"/>
      <c r="M97" s="11">
        <f t="shared" si="29"/>
        <v>31715</v>
      </c>
      <c r="N97" s="11">
        <v>31715</v>
      </c>
      <c r="O97" s="49">
        <f t="shared" si="26"/>
        <v>1</v>
      </c>
    </row>
    <row r="98" spans="1:15" ht="81.75" customHeight="1">
      <c r="A98" s="34" t="s">
        <v>159</v>
      </c>
      <c r="B98" s="34" t="s">
        <v>230</v>
      </c>
      <c r="C98" s="24"/>
      <c r="D98" s="24"/>
      <c r="E98" s="24"/>
      <c r="F98" s="24"/>
      <c r="G98" s="35">
        <v>11010</v>
      </c>
      <c r="H98" s="35">
        <v>15411</v>
      </c>
      <c r="I98" s="35">
        <f t="shared" si="27"/>
        <v>26421</v>
      </c>
      <c r="J98" s="24"/>
      <c r="K98" s="11">
        <f t="shared" si="28"/>
        <v>26421</v>
      </c>
      <c r="L98" s="46">
        <v>13779</v>
      </c>
      <c r="M98" s="11">
        <f t="shared" si="29"/>
        <v>40200</v>
      </c>
      <c r="N98" s="11">
        <v>49000</v>
      </c>
      <c r="O98" s="49">
        <f t="shared" si="26"/>
        <v>1.2189054726368158</v>
      </c>
    </row>
    <row r="99" spans="1:15" ht="113.25" customHeight="1">
      <c r="A99" s="34" t="s">
        <v>160</v>
      </c>
      <c r="B99" s="34" t="s">
        <v>198</v>
      </c>
      <c r="C99" s="24"/>
      <c r="D99" s="24"/>
      <c r="E99" s="24"/>
      <c r="F99" s="24"/>
      <c r="G99" s="35"/>
      <c r="H99" s="35">
        <v>5783</v>
      </c>
      <c r="I99" s="35">
        <f t="shared" si="27"/>
        <v>5783</v>
      </c>
      <c r="J99" s="24"/>
      <c r="K99" s="11">
        <f t="shared" si="28"/>
        <v>5783</v>
      </c>
      <c r="L99" s="46">
        <v>-4783</v>
      </c>
      <c r="M99" s="11">
        <f t="shared" si="29"/>
        <v>1000</v>
      </c>
      <c r="N99" s="11">
        <v>0</v>
      </c>
      <c r="O99" s="49">
        <f t="shared" si="26"/>
        <v>0</v>
      </c>
    </row>
    <row r="100" spans="1:15" ht="48.75" customHeight="1">
      <c r="A100" s="34" t="s">
        <v>161</v>
      </c>
      <c r="B100" s="34" t="s">
        <v>162</v>
      </c>
      <c r="C100" s="24"/>
      <c r="D100" s="24"/>
      <c r="E100" s="24"/>
      <c r="F100" s="24"/>
      <c r="G100" s="35"/>
      <c r="H100" s="35">
        <v>16100</v>
      </c>
      <c r="I100" s="35">
        <f t="shared" si="27"/>
        <v>16100</v>
      </c>
      <c r="J100" s="24"/>
      <c r="K100" s="11">
        <f t="shared" si="28"/>
        <v>16100</v>
      </c>
      <c r="L100" s="46"/>
      <c r="M100" s="11">
        <f t="shared" si="29"/>
        <v>16100</v>
      </c>
      <c r="N100" s="11">
        <v>16100</v>
      </c>
      <c r="O100" s="49">
        <f t="shared" si="26"/>
        <v>1</v>
      </c>
    </row>
    <row r="101" spans="1:15" ht="78.75">
      <c r="A101" s="34" t="s">
        <v>163</v>
      </c>
      <c r="B101" s="34" t="s">
        <v>226</v>
      </c>
      <c r="C101" s="24"/>
      <c r="D101" s="24"/>
      <c r="E101" s="24"/>
      <c r="F101" s="24"/>
      <c r="G101" s="35">
        <v>7080</v>
      </c>
      <c r="H101" s="35">
        <f>7039</f>
        <v>7039</v>
      </c>
      <c r="I101" s="35">
        <f t="shared" si="27"/>
        <v>14119</v>
      </c>
      <c r="J101" s="24"/>
      <c r="K101" s="11">
        <f t="shared" si="28"/>
        <v>14119</v>
      </c>
      <c r="L101" s="46">
        <v>9481</v>
      </c>
      <c r="M101" s="11">
        <f t="shared" si="29"/>
        <v>23600</v>
      </c>
      <c r="N101" s="11">
        <v>19204</v>
      </c>
      <c r="O101" s="49">
        <f t="shared" si="26"/>
        <v>0.813728813559322</v>
      </c>
    </row>
    <row r="102" spans="1:15" ht="94.5">
      <c r="A102" s="34" t="s">
        <v>238</v>
      </c>
      <c r="B102" s="34" t="s">
        <v>239</v>
      </c>
      <c r="C102" s="24"/>
      <c r="D102" s="24"/>
      <c r="E102" s="24"/>
      <c r="F102" s="24"/>
      <c r="G102" s="35"/>
      <c r="H102" s="35"/>
      <c r="I102" s="35"/>
      <c r="J102" s="24"/>
      <c r="K102" s="11"/>
      <c r="L102" s="46">
        <v>4500</v>
      </c>
      <c r="M102" s="11">
        <f t="shared" si="29"/>
        <v>4500</v>
      </c>
      <c r="N102" s="11">
        <v>552</v>
      </c>
      <c r="O102" s="49">
        <f t="shared" si="26"/>
        <v>0.12266666666666666</v>
      </c>
    </row>
    <row r="103" spans="1:15" ht="78.75">
      <c r="A103" s="34" t="s">
        <v>240</v>
      </c>
      <c r="B103" s="34" t="s">
        <v>241</v>
      </c>
      <c r="C103" s="24"/>
      <c r="D103" s="24"/>
      <c r="E103" s="24"/>
      <c r="F103" s="24"/>
      <c r="G103" s="35"/>
      <c r="H103" s="35"/>
      <c r="I103" s="35"/>
      <c r="J103" s="24"/>
      <c r="K103" s="11"/>
      <c r="L103" s="46">
        <v>252529</v>
      </c>
      <c r="M103" s="11">
        <f t="shared" si="29"/>
        <v>252529</v>
      </c>
      <c r="N103" s="11">
        <v>252529</v>
      </c>
      <c r="O103" s="49">
        <f t="shared" si="26"/>
        <v>1</v>
      </c>
    </row>
    <row r="104" spans="1:15" ht="63.75" customHeight="1">
      <c r="A104" s="34" t="s">
        <v>164</v>
      </c>
      <c r="B104" s="34" t="s">
        <v>199</v>
      </c>
      <c r="C104" s="24"/>
      <c r="D104" s="24"/>
      <c r="E104" s="24"/>
      <c r="F104" s="24"/>
      <c r="G104" s="35">
        <v>54893</v>
      </c>
      <c r="H104" s="35">
        <v>-10000</v>
      </c>
      <c r="I104" s="35">
        <f t="shared" si="27"/>
        <v>44893</v>
      </c>
      <c r="J104" s="24"/>
      <c r="K104" s="11">
        <f t="shared" si="28"/>
        <v>44893</v>
      </c>
      <c r="L104" s="46"/>
      <c r="M104" s="11">
        <f t="shared" si="29"/>
        <v>44893</v>
      </c>
      <c r="N104" s="11">
        <v>44893</v>
      </c>
      <c r="O104" s="49">
        <f t="shared" si="26"/>
        <v>1</v>
      </c>
    </row>
    <row r="105" spans="1:15" ht="110.25">
      <c r="A105" s="34" t="s">
        <v>165</v>
      </c>
      <c r="B105" s="34" t="s">
        <v>166</v>
      </c>
      <c r="C105" s="24"/>
      <c r="D105" s="24"/>
      <c r="E105" s="24"/>
      <c r="F105" s="24"/>
      <c r="G105" s="35">
        <v>65899</v>
      </c>
      <c r="H105" s="35"/>
      <c r="I105" s="35">
        <f t="shared" si="27"/>
        <v>65899</v>
      </c>
      <c r="J105" s="24"/>
      <c r="K105" s="11">
        <f t="shared" si="28"/>
        <v>65899</v>
      </c>
      <c r="L105" s="46"/>
      <c r="M105" s="11">
        <f t="shared" si="29"/>
        <v>65899</v>
      </c>
      <c r="N105" s="11">
        <v>52153</v>
      </c>
      <c r="O105" s="49">
        <f t="shared" si="26"/>
        <v>0.7914080638552937</v>
      </c>
    </row>
    <row r="106" spans="1:15" ht="63">
      <c r="A106" s="34" t="s">
        <v>167</v>
      </c>
      <c r="B106" s="34" t="s">
        <v>168</v>
      </c>
      <c r="C106" s="24"/>
      <c r="D106" s="24"/>
      <c r="E106" s="24"/>
      <c r="F106" s="24"/>
      <c r="G106" s="35"/>
      <c r="H106" s="35">
        <v>4000</v>
      </c>
      <c r="I106" s="35">
        <f t="shared" si="27"/>
        <v>4000</v>
      </c>
      <c r="J106" s="24"/>
      <c r="K106" s="11">
        <f t="shared" si="28"/>
        <v>4000</v>
      </c>
      <c r="L106" s="46">
        <v>1500</v>
      </c>
      <c r="M106" s="11">
        <f t="shared" si="29"/>
        <v>5500</v>
      </c>
      <c r="N106" s="11">
        <v>5500</v>
      </c>
      <c r="O106" s="49">
        <f t="shared" si="26"/>
        <v>1</v>
      </c>
    </row>
    <row r="107" spans="1:15" ht="48" customHeight="1">
      <c r="A107" s="34" t="s">
        <v>169</v>
      </c>
      <c r="B107" s="34" t="s">
        <v>200</v>
      </c>
      <c r="C107" s="24"/>
      <c r="D107" s="24"/>
      <c r="E107" s="24"/>
      <c r="F107" s="24"/>
      <c r="G107" s="35">
        <v>86158</v>
      </c>
      <c r="H107" s="35"/>
      <c r="I107" s="35">
        <f t="shared" si="27"/>
        <v>86158</v>
      </c>
      <c r="J107" s="24"/>
      <c r="K107" s="11">
        <f t="shared" si="28"/>
        <v>86158</v>
      </c>
      <c r="L107" s="46"/>
      <c r="M107" s="11">
        <f t="shared" si="29"/>
        <v>86158</v>
      </c>
      <c r="N107" s="11">
        <v>77057</v>
      </c>
      <c r="O107" s="49">
        <f t="shared" si="26"/>
        <v>0.8943684858051487</v>
      </c>
    </row>
    <row r="108" spans="1:15" ht="47.25">
      <c r="A108" s="34" t="s">
        <v>170</v>
      </c>
      <c r="B108" s="34" t="s">
        <v>227</v>
      </c>
      <c r="C108" s="24"/>
      <c r="D108" s="24"/>
      <c r="E108" s="24"/>
      <c r="F108" s="24"/>
      <c r="G108" s="35">
        <v>17352</v>
      </c>
      <c r="H108" s="35"/>
      <c r="I108" s="35">
        <f t="shared" si="27"/>
        <v>17352</v>
      </c>
      <c r="J108" s="24"/>
      <c r="K108" s="11">
        <f t="shared" si="28"/>
        <v>17352</v>
      </c>
      <c r="L108" s="46"/>
      <c r="M108" s="11">
        <f t="shared" si="29"/>
        <v>17352</v>
      </c>
      <c r="N108" s="11">
        <v>17352</v>
      </c>
      <c r="O108" s="49">
        <f t="shared" si="26"/>
        <v>1</v>
      </c>
    </row>
    <row r="109" spans="1:15" ht="124.5" customHeight="1">
      <c r="A109" s="34" t="s">
        <v>171</v>
      </c>
      <c r="B109" s="34" t="s">
        <v>201</v>
      </c>
      <c r="C109" s="24"/>
      <c r="D109" s="24"/>
      <c r="E109" s="24"/>
      <c r="F109" s="24"/>
      <c r="G109" s="35">
        <v>8460</v>
      </c>
      <c r="H109" s="35">
        <v>9962</v>
      </c>
      <c r="I109" s="35">
        <f t="shared" si="27"/>
        <v>18422</v>
      </c>
      <c r="J109" s="24"/>
      <c r="K109" s="11">
        <f t="shared" si="28"/>
        <v>18422</v>
      </c>
      <c r="L109" s="46">
        <v>15378</v>
      </c>
      <c r="M109" s="11">
        <f t="shared" si="29"/>
        <v>33800</v>
      </c>
      <c r="N109" s="11">
        <v>33800</v>
      </c>
      <c r="O109" s="49">
        <f t="shared" si="26"/>
        <v>1</v>
      </c>
    </row>
    <row r="110" spans="1:15" ht="78.75">
      <c r="A110" s="34" t="s">
        <v>191</v>
      </c>
      <c r="B110" s="34" t="s">
        <v>192</v>
      </c>
      <c r="C110" s="24"/>
      <c r="D110" s="24"/>
      <c r="E110" s="24"/>
      <c r="F110" s="24"/>
      <c r="G110" s="35"/>
      <c r="H110" s="35">
        <v>104320</v>
      </c>
      <c r="I110" s="35">
        <f t="shared" si="27"/>
        <v>104320</v>
      </c>
      <c r="J110" s="24"/>
      <c r="K110" s="11">
        <f t="shared" si="28"/>
        <v>104320</v>
      </c>
      <c r="L110" s="46"/>
      <c r="M110" s="11">
        <f t="shared" si="29"/>
        <v>104320</v>
      </c>
      <c r="N110" s="11">
        <v>104320</v>
      </c>
      <c r="O110" s="49">
        <f t="shared" si="26"/>
        <v>1</v>
      </c>
    </row>
    <row r="111" spans="1:15" ht="63">
      <c r="A111" s="34" t="s">
        <v>172</v>
      </c>
      <c r="B111" s="34" t="s">
        <v>173</v>
      </c>
      <c r="C111" s="24"/>
      <c r="D111" s="24"/>
      <c r="E111" s="24"/>
      <c r="F111" s="24"/>
      <c r="G111" s="35"/>
      <c r="H111" s="35">
        <v>51235</v>
      </c>
      <c r="I111" s="35">
        <f t="shared" si="27"/>
        <v>51235</v>
      </c>
      <c r="J111" s="24"/>
      <c r="K111" s="11">
        <f t="shared" si="28"/>
        <v>51235</v>
      </c>
      <c r="L111" s="46"/>
      <c r="M111" s="11">
        <f t="shared" si="29"/>
        <v>51235</v>
      </c>
      <c r="N111" s="11">
        <v>51235</v>
      </c>
      <c r="O111" s="49">
        <f t="shared" si="26"/>
        <v>1</v>
      </c>
    </row>
    <row r="112" spans="1:15" ht="63.75" customHeight="1">
      <c r="A112" s="34" t="s">
        <v>174</v>
      </c>
      <c r="B112" s="34" t="s">
        <v>202</v>
      </c>
      <c r="C112" s="24"/>
      <c r="D112" s="24"/>
      <c r="E112" s="24"/>
      <c r="F112" s="24"/>
      <c r="G112" s="35">
        <v>137036</v>
      </c>
      <c r="H112" s="35"/>
      <c r="I112" s="35">
        <f t="shared" si="27"/>
        <v>137036</v>
      </c>
      <c r="J112" s="24"/>
      <c r="K112" s="11">
        <f t="shared" si="28"/>
        <v>137036</v>
      </c>
      <c r="L112" s="46"/>
      <c r="M112" s="11">
        <f t="shared" si="29"/>
        <v>137036</v>
      </c>
      <c r="N112" s="11">
        <v>137035</v>
      </c>
      <c r="O112" s="49">
        <f t="shared" si="26"/>
        <v>0.9999927026474795</v>
      </c>
    </row>
    <row r="113" spans="1:15" ht="96.75" customHeight="1">
      <c r="A113" s="34" t="s">
        <v>232</v>
      </c>
      <c r="B113" s="34" t="s">
        <v>233</v>
      </c>
      <c r="C113" s="24"/>
      <c r="D113" s="24"/>
      <c r="E113" s="24"/>
      <c r="F113" s="24"/>
      <c r="G113" s="35"/>
      <c r="H113" s="35"/>
      <c r="I113" s="35"/>
      <c r="J113" s="24"/>
      <c r="K113" s="11"/>
      <c r="L113" s="46">
        <v>1480</v>
      </c>
      <c r="M113" s="11">
        <f t="shared" si="29"/>
        <v>1480</v>
      </c>
      <c r="N113" s="11">
        <v>1480</v>
      </c>
      <c r="O113" s="49">
        <f t="shared" si="26"/>
        <v>1</v>
      </c>
    </row>
    <row r="114" spans="1:15" ht="63.75" customHeight="1">
      <c r="A114" s="34" t="s">
        <v>175</v>
      </c>
      <c r="B114" s="34" t="s">
        <v>215</v>
      </c>
      <c r="C114" s="24"/>
      <c r="D114" s="24"/>
      <c r="E114" s="24"/>
      <c r="F114" s="24"/>
      <c r="G114" s="35"/>
      <c r="H114" s="35">
        <v>5000</v>
      </c>
      <c r="I114" s="35">
        <f t="shared" si="27"/>
        <v>5000</v>
      </c>
      <c r="J114" s="24"/>
      <c r="K114" s="11">
        <f t="shared" si="28"/>
        <v>5000</v>
      </c>
      <c r="L114" s="46"/>
      <c r="M114" s="11">
        <f t="shared" si="29"/>
        <v>5000</v>
      </c>
      <c r="N114" s="11">
        <v>5000</v>
      </c>
      <c r="O114" s="49">
        <f t="shared" si="26"/>
        <v>1</v>
      </c>
    </row>
    <row r="115" spans="1:15" ht="63.75" customHeight="1">
      <c r="A115" s="34" t="s">
        <v>176</v>
      </c>
      <c r="B115" s="34" t="s">
        <v>177</v>
      </c>
      <c r="C115" s="24"/>
      <c r="D115" s="24"/>
      <c r="E115" s="24"/>
      <c r="F115" s="24"/>
      <c r="G115" s="35"/>
      <c r="H115" s="35">
        <v>20000</v>
      </c>
      <c r="I115" s="35">
        <f t="shared" si="27"/>
        <v>20000</v>
      </c>
      <c r="J115" s="24"/>
      <c r="K115" s="11">
        <f t="shared" si="28"/>
        <v>20000</v>
      </c>
      <c r="L115" s="46"/>
      <c r="M115" s="11">
        <f t="shared" si="29"/>
        <v>20000</v>
      </c>
      <c r="N115" s="11">
        <v>20000</v>
      </c>
      <c r="O115" s="49">
        <f t="shared" si="26"/>
        <v>1</v>
      </c>
    </row>
    <row r="116" spans="1:15" ht="47.25">
      <c r="A116" s="34" t="s">
        <v>178</v>
      </c>
      <c r="B116" s="34" t="s">
        <v>179</v>
      </c>
      <c r="C116" s="24"/>
      <c r="D116" s="24"/>
      <c r="E116" s="24"/>
      <c r="F116" s="24"/>
      <c r="G116" s="35">
        <v>794320</v>
      </c>
      <c r="H116" s="35">
        <f>500000-104320</f>
        <v>395680</v>
      </c>
      <c r="I116" s="35">
        <f t="shared" si="27"/>
        <v>1190000</v>
      </c>
      <c r="J116" s="24"/>
      <c r="K116" s="11">
        <f t="shared" si="28"/>
        <v>1190000</v>
      </c>
      <c r="L116" s="46">
        <f>250+8650</f>
        <v>8900</v>
      </c>
      <c r="M116" s="11">
        <f t="shared" si="29"/>
        <v>1198900</v>
      </c>
      <c r="N116" s="11">
        <v>1198132</v>
      </c>
      <c r="O116" s="49">
        <f t="shared" si="26"/>
        <v>0.9993594127950621</v>
      </c>
    </row>
    <row r="117" spans="1:15" ht="47.25" customHeight="1">
      <c r="A117" s="34" t="s">
        <v>180</v>
      </c>
      <c r="B117" s="34" t="s">
        <v>203</v>
      </c>
      <c r="C117" s="24"/>
      <c r="D117" s="24"/>
      <c r="E117" s="24"/>
      <c r="F117" s="24"/>
      <c r="G117" s="35">
        <v>10000</v>
      </c>
      <c r="H117" s="35"/>
      <c r="I117" s="35">
        <f t="shared" si="27"/>
        <v>10000</v>
      </c>
      <c r="J117" s="24"/>
      <c r="K117" s="11">
        <f t="shared" si="28"/>
        <v>10000</v>
      </c>
      <c r="L117" s="46">
        <v>99301</v>
      </c>
      <c r="M117" s="11">
        <f t="shared" si="29"/>
        <v>109301</v>
      </c>
      <c r="N117" s="11">
        <v>109301</v>
      </c>
      <c r="O117" s="49">
        <f t="shared" si="26"/>
        <v>1</v>
      </c>
    </row>
    <row r="118" spans="1:15" ht="66" customHeight="1">
      <c r="A118" s="34" t="s">
        <v>181</v>
      </c>
      <c r="B118" s="34" t="s">
        <v>204</v>
      </c>
      <c r="C118" s="24"/>
      <c r="D118" s="24"/>
      <c r="E118" s="24"/>
      <c r="F118" s="24"/>
      <c r="G118" s="35"/>
      <c r="H118" s="35">
        <v>5000</v>
      </c>
      <c r="I118" s="35">
        <f>G121+H118</f>
        <v>5000</v>
      </c>
      <c r="J118" s="24"/>
      <c r="K118" s="11">
        <f t="shared" si="28"/>
        <v>5000</v>
      </c>
      <c r="L118" s="46">
        <v>3400</v>
      </c>
      <c r="M118" s="11">
        <f t="shared" si="29"/>
        <v>8400</v>
      </c>
      <c r="N118" s="11">
        <v>10400</v>
      </c>
      <c r="O118" s="49">
        <f t="shared" si="26"/>
        <v>1.2380952380952381</v>
      </c>
    </row>
    <row r="119" spans="1:15" ht="63.75" customHeight="1">
      <c r="A119" s="34" t="s">
        <v>182</v>
      </c>
      <c r="B119" s="34" t="s">
        <v>183</v>
      </c>
      <c r="C119" s="24"/>
      <c r="D119" s="24"/>
      <c r="E119" s="24"/>
      <c r="F119" s="24"/>
      <c r="G119" s="35"/>
      <c r="H119" s="35">
        <v>17500</v>
      </c>
      <c r="I119" s="35">
        <f>G123+H119</f>
        <v>17500</v>
      </c>
      <c r="J119" s="24"/>
      <c r="K119" s="11">
        <f t="shared" si="28"/>
        <v>17500</v>
      </c>
      <c r="L119" s="46">
        <v>584</v>
      </c>
      <c r="M119" s="11">
        <f t="shared" si="29"/>
        <v>18084</v>
      </c>
      <c r="N119" s="11">
        <v>18083</v>
      </c>
      <c r="O119" s="49">
        <f t="shared" si="26"/>
        <v>0.999944702499447</v>
      </c>
    </row>
    <row r="120" spans="1:15" ht="48.75" customHeight="1">
      <c r="A120" s="34" t="s">
        <v>184</v>
      </c>
      <c r="B120" s="34" t="s">
        <v>216</v>
      </c>
      <c r="C120" s="24"/>
      <c r="D120" s="24"/>
      <c r="E120" s="24"/>
      <c r="F120" s="24"/>
      <c r="G120" s="35"/>
      <c r="H120" s="35">
        <v>477300</v>
      </c>
      <c r="I120" s="35">
        <f>G123+H120</f>
        <v>477300</v>
      </c>
      <c r="J120" s="24"/>
      <c r="K120" s="11">
        <f t="shared" si="28"/>
        <v>477300</v>
      </c>
      <c r="L120" s="46"/>
      <c r="M120" s="11">
        <f t="shared" si="29"/>
        <v>477300</v>
      </c>
      <c r="N120" s="11">
        <v>477300</v>
      </c>
      <c r="O120" s="49">
        <f t="shared" si="26"/>
        <v>1</v>
      </c>
    </row>
    <row r="121" spans="1:15" ht="64.5" customHeight="1">
      <c r="A121" s="34" t="s">
        <v>185</v>
      </c>
      <c r="B121" s="34" t="s">
        <v>205</v>
      </c>
      <c r="C121" s="24"/>
      <c r="D121" s="24"/>
      <c r="E121" s="24"/>
      <c r="F121" s="24"/>
      <c r="G121" s="35"/>
      <c r="H121" s="35">
        <v>83351</v>
      </c>
      <c r="I121" s="35">
        <f>G123+H121</f>
        <v>83351</v>
      </c>
      <c r="J121" s="24"/>
      <c r="K121" s="11">
        <f t="shared" si="28"/>
        <v>83351</v>
      </c>
      <c r="L121" s="46"/>
      <c r="M121" s="11">
        <f t="shared" si="29"/>
        <v>83351</v>
      </c>
      <c r="N121" s="11">
        <v>83351</v>
      </c>
      <c r="O121" s="49">
        <f t="shared" si="26"/>
        <v>1</v>
      </c>
    </row>
    <row r="122" spans="1:15" ht="127.5" customHeight="1">
      <c r="A122" s="34" t="s">
        <v>253</v>
      </c>
      <c r="B122" s="34" t="s">
        <v>254</v>
      </c>
      <c r="C122" s="24"/>
      <c r="D122" s="24"/>
      <c r="E122" s="24"/>
      <c r="F122" s="24"/>
      <c r="G122" s="35"/>
      <c r="H122" s="35"/>
      <c r="I122" s="35"/>
      <c r="J122" s="24"/>
      <c r="K122" s="11"/>
      <c r="L122" s="46"/>
      <c r="M122" s="11"/>
      <c r="N122" s="11">
        <v>14629</v>
      </c>
      <c r="O122" s="49"/>
    </row>
    <row r="123" spans="1:15" ht="32.25" customHeight="1">
      <c r="A123" s="34" t="s">
        <v>186</v>
      </c>
      <c r="B123" s="34" t="s">
        <v>187</v>
      </c>
      <c r="C123" s="24"/>
      <c r="D123" s="24"/>
      <c r="E123" s="24"/>
      <c r="F123" s="24"/>
      <c r="G123" s="35"/>
      <c r="H123" s="35">
        <v>1637</v>
      </c>
      <c r="I123" s="35">
        <f>G124+H123</f>
        <v>1637</v>
      </c>
      <c r="J123" s="24"/>
      <c r="K123" s="11">
        <f t="shared" si="28"/>
        <v>1637</v>
      </c>
      <c r="L123" s="46">
        <f>1092</f>
        <v>1092</v>
      </c>
      <c r="M123" s="11">
        <f t="shared" si="29"/>
        <v>2729</v>
      </c>
      <c r="N123" s="11">
        <v>2728</v>
      </c>
      <c r="O123" s="49">
        <f t="shared" si="26"/>
        <v>0.9996335654085746</v>
      </c>
    </row>
    <row r="124" spans="1:15" ht="31.5" hidden="1">
      <c r="A124" s="31" t="s">
        <v>71</v>
      </c>
      <c r="B124" s="31" t="s">
        <v>72</v>
      </c>
      <c r="C124" s="32"/>
      <c r="D124" s="18"/>
      <c r="E124" s="18"/>
      <c r="F124" s="18"/>
      <c r="G124" s="35"/>
      <c r="H124" s="36"/>
      <c r="I124" s="36"/>
      <c r="J124" s="24"/>
      <c r="K124" s="5"/>
      <c r="L124" s="47"/>
      <c r="M124" s="11">
        <f t="shared" si="29"/>
        <v>0</v>
      </c>
      <c r="N124" s="11"/>
      <c r="O124" s="49" t="e">
        <f t="shared" si="26"/>
        <v>#DIV/0!</v>
      </c>
    </row>
    <row r="125" spans="1:15" ht="31.5">
      <c r="A125" s="31" t="s">
        <v>234</v>
      </c>
      <c r="B125" s="31" t="s">
        <v>235</v>
      </c>
      <c r="C125" s="32"/>
      <c r="D125" s="18"/>
      <c r="E125" s="18"/>
      <c r="F125" s="18"/>
      <c r="G125" s="35"/>
      <c r="H125" s="36"/>
      <c r="I125" s="36"/>
      <c r="J125" s="24"/>
      <c r="K125" s="33"/>
      <c r="L125" s="40">
        <f>L126+L127</f>
        <v>43109</v>
      </c>
      <c r="M125" s="40">
        <f>M126+M127</f>
        <v>43109</v>
      </c>
      <c r="N125" s="40">
        <f>N126+N127</f>
        <v>28478</v>
      </c>
      <c r="O125" s="58">
        <f t="shared" si="26"/>
        <v>0.6606045141385789</v>
      </c>
    </row>
    <row r="126" spans="1:15" ht="47.25">
      <c r="A126" s="34" t="s">
        <v>247</v>
      </c>
      <c r="B126" s="34" t="s">
        <v>248</v>
      </c>
      <c r="C126" s="32"/>
      <c r="D126" s="18"/>
      <c r="E126" s="18"/>
      <c r="F126" s="18"/>
      <c r="G126" s="35"/>
      <c r="H126" s="36"/>
      <c r="I126" s="36"/>
      <c r="J126" s="24"/>
      <c r="K126" s="33"/>
      <c r="L126" s="11">
        <v>14630</v>
      </c>
      <c r="M126" s="11">
        <f>K126+L126</f>
        <v>14630</v>
      </c>
      <c r="N126" s="11">
        <v>0</v>
      </c>
      <c r="O126" s="49">
        <f t="shared" si="26"/>
        <v>0</v>
      </c>
    </row>
    <row r="127" spans="1:15" ht="47.25">
      <c r="A127" s="34" t="s">
        <v>236</v>
      </c>
      <c r="B127" s="34" t="s">
        <v>237</v>
      </c>
      <c r="C127" s="32"/>
      <c r="D127" s="18"/>
      <c r="E127" s="18"/>
      <c r="F127" s="18"/>
      <c r="G127" s="35"/>
      <c r="H127" s="36"/>
      <c r="I127" s="36"/>
      <c r="J127" s="24"/>
      <c r="K127" s="5"/>
      <c r="L127" s="46">
        <v>28479</v>
      </c>
      <c r="M127" s="11">
        <f>K127+L127</f>
        <v>28479</v>
      </c>
      <c r="N127" s="11">
        <v>28478</v>
      </c>
      <c r="O127" s="49">
        <f t="shared" si="26"/>
        <v>0.9999648864075283</v>
      </c>
    </row>
    <row r="128" spans="1:15" ht="15.75">
      <c r="A128" s="68" t="s">
        <v>47</v>
      </c>
      <c r="B128" s="69"/>
      <c r="C128" s="21">
        <f>C58+C9</f>
        <v>12542143</v>
      </c>
      <c r="D128" s="21">
        <f>D58+D9</f>
        <v>1287110</v>
      </c>
      <c r="E128" s="21">
        <f>E58+E9</f>
        <v>13908148</v>
      </c>
      <c r="F128" s="21">
        <f>F58+F9</f>
        <v>339242</v>
      </c>
      <c r="G128" s="21">
        <f aca="true" t="shared" si="30" ref="G128:L128">G8+G58</f>
        <v>20082935</v>
      </c>
      <c r="H128" s="21">
        <f t="shared" si="30"/>
        <v>1690327</v>
      </c>
      <c r="I128" s="21">
        <f t="shared" si="30"/>
        <v>21862062</v>
      </c>
      <c r="J128" s="21">
        <f t="shared" si="30"/>
        <v>114613</v>
      </c>
      <c r="K128" s="21">
        <f t="shared" si="30"/>
        <v>21976675</v>
      </c>
      <c r="L128" s="21">
        <f t="shared" si="30"/>
        <v>216402</v>
      </c>
      <c r="M128" s="21">
        <f>K128+L128</f>
        <v>22193077</v>
      </c>
      <c r="N128" s="21">
        <f>N8+N58</f>
        <v>22158008.540000003</v>
      </c>
      <c r="O128" s="53">
        <f t="shared" si="26"/>
        <v>0.9984198468738699</v>
      </c>
    </row>
    <row r="129" spans="1:10" ht="15.75">
      <c r="A129" s="22"/>
      <c r="B129" s="22"/>
      <c r="C129" s="22"/>
      <c r="D129" s="22"/>
      <c r="E129" s="22"/>
      <c r="F129" s="22"/>
      <c r="G129" s="37"/>
      <c r="H129" s="22"/>
      <c r="I129" s="38"/>
      <c r="J129" s="22"/>
    </row>
    <row r="130" spans="1:12" ht="15.75" hidden="1">
      <c r="A130" s="22"/>
      <c r="B130" s="22" t="s">
        <v>97</v>
      </c>
      <c r="C130" s="22">
        <v>302751</v>
      </c>
      <c r="D130" s="22"/>
      <c r="E130" s="22">
        <v>302751</v>
      </c>
      <c r="F130" s="22"/>
      <c r="G130" s="22"/>
      <c r="H130" s="22">
        <f>52+1637</f>
        <v>1689</v>
      </c>
      <c r="I130" s="22"/>
      <c r="J130" s="22"/>
      <c r="L130" s="41">
        <f>110+3000+1092</f>
        <v>4202</v>
      </c>
    </row>
    <row r="131" spans="1:10" ht="15.75" hidden="1">
      <c r="A131" s="22"/>
      <c r="B131" s="22" t="s">
        <v>98</v>
      </c>
      <c r="C131" s="22">
        <v>7436</v>
      </c>
      <c r="D131" s="22">
        <v>103919</v>
      </c>
      <c r="E131" s="22">
        <v>7436</v>
      </c>
      <c r="F131" s="22">
        <v>103919</v>
      </c>
      <c r="G131" s="22"/>
      <c r="H131" s="22"/>
      <c r="I131" s="22"/>
      <c r="J131" s="22"/>
    </row>
    <row r="132" spans="1:12" ht="15.75" hidden="1">
      <c r="A132" s="22"/>
      <c r="B132" s="22" t="s">
        <v>99</v>
      </c>
      <c r="C132" s="22">
        <v>82335</v>
      </c>
      <c r="D132" s="22"/>
      <c r="E132" s="22">
        <v>82335</v>
      </c>
      <c r="F132" s="22"/>
      <c r="G132" s="22"/>
      <c r="H132" s="22">
        <v>65054</v>
      </c>
      <c r="I132" s="22"/>
      <c r="J132" s="22"/>
      <c r="L132" s="41">
        <f>21500+2000+2647+404+13779-4783+9481+1500+15378+8650+3400</f>
        <v>73956</v>
      </c>
    </row>
    <row r="133" spans="1:12" ht="15.75" hidden="1">
      <c r="A133" s="22"/>
      <c r="B133" s="22" t="s">
        <v>100</v>
      </c>
      <c r="C133" s="22">
        <v>1028877</v>
      </c>
      <c r="D133" s="22">
        <v>43191</v>
      </c>
      <c r="E133" s="22">
        <v>1028877</v>
      </c>
      <c r="F133" s="22">
        <v>43191</v>
      </c>
      <c r="G133" s="22"/>
      <c r="H133" s="22">
        <f>16100+83351</f>
        <v>99451</v>
      </c>
      <c r="I133" s="22"/>
      <c r="J133" s="22"/>
      <c r="L133" s="41">
        <f>-333299+31+6000+4500+252529+80000+19301</f>
        <v>29062</v>
      </c>
    </row>
    <row r="134" spans="1:12" ht="15.75" hidden="1">
      <c r="A134" s="22"/>
      <c r="B134" s="22" t="s">
        <v>101</v>
      </c>
      <c r="C134" s="22">
        <v>405079</v>
      </c>
      <c r="D134" s="22"/>
      <c r="E134" s="22">
        <v>405079</v>
      </c>
      <c r="F134" s="22"/>
      <c r="G134" s="22"/>
      <c r="H134" s="22">
        <f>20000+17500+9+45-25415+24346-10000</f>
        <v>26485</v>
      </c>
      <c r="I134" s="22"/>
      <c r="J134" s="22"/>
      <c r="L134" s="41">
        <f>20+45222-18125+1480+250+584+14630+28479+96-1567</f>
        <v>71069</v>
      </c>
    </row>
    <row r="135" spans="1:10" ht="15.75" hidden="1">
      <c r="A135" s="22"/>
      <c r="B135" s="22" t="s">
        <v>104</v>
      </c>
      <c r="C135" s="22"/>
      <c r="D135" s="22">
        <v>690000</v>
      </c>
      <c r="E135" s="22">
        <v>690000</v>
      </c>
      <c r="F135" s="22">
        <v>690000</v>
      </c>
      <c r="G135" s="22"/>
      <c r="H135" s="22">
        <f>477300+500000+51235</f>
        <v>1028535</v>
      </c>
      <c r="I135" s="22"/>
      <c r="J135" s="22"/>
    </row>
    <row r="136" spans="1:12" ht="15.75" hidden="1">
      <c r="A136" s="22"/>
      <c r="B136" s="22" t="s">
        <v>246</v>
      </c>
      <c r="C136" s="22"/>
      <c r="D136" s="22"/>
      <c r="E136" s="22"/>
      <c r="F136" s="22"/>
      <c r="G136" s="22"/>
      <c r="H136" s="22"/>
      <c r="I136" s="22"/>
      <c r="J136" s="22"/>
      <c r="L136" s="41">
        <v>37210</v>
      </c>
    </row>
    <row r="137" spans="1:12" ht="15.75" hidden="1">
      <c r="A137" s="22"/>
      <c r="B137" s="22" t="s">
        <v>102</v>
      </c>
      <c r="C137" s="39">
        <f>C59-C130-C131-C133-C132-C134</f>
        <v>160000</v>
      </c>
      <c r="D137" s="39">
        <f>D59-D130-D131-D133-D132-D134-D135</f>
        <v>-160000</v>
      </c>
      <c r="E137" s="39">
        <f>E59-E130-E131-E133-E132-E134-E135</f>
        <v>226005</v>
      </c>
      <c r="F137" s="39">
        <f>F59-F130-F131-F133-F132-F134-F135</f>
        <v>-497868</v>
      </c>
      <c r="G137" s="22"/>
      <c r="H137" s="22">
        <f>SUM(H130:H135)</f>
        <v>1221214</v>
      </c>
      <c r="I137" s="22"/>
      <c r="J137" s="22"/>
      <c r="L137" s="41">
        <f>SUM(L130:L136)</f>
        <v>215499</v>
      </c>
    </row>
    <row r="138" spans="1:12" ht="15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L138" s="41">
        <f>L128-L137</f>
        <v>903</v>
      </c>
    </row>
    <row r="139" spans="1:10" ht="15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</row>
    <row r="140" spans="1:10" ht="15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</row>
    <row r="141" spans="1:10" ht="15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</row>
    <row r="143" spans="1:10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</row>
    <row r="144" spans="1:10" ht="15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5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5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5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5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5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</sheetData>
  <mergeCells count="5">
    <mergeCell ref="A128:B128"/>
    <mergeCell ref="A1:O1"/>
    <mergeCell ref="A2:O2"/>
    <mergeCell ref="A3:O3"/>
    <mergeCell ref="A6:O6"/>
  </mergeCells>
  <printOptions horizontalCentered="1"/>
  <pageMargins left="0.984251968503937" right="0.5905511811023623" top="0.7874015748031497" bottom="0.3937007874015748" header="0.5118110236220472" footer="0.5118110236220472"/>
  <pageSetup horizontalDpi="600" verticalDpi="6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2008-06-18T06:25:09Z</cp:lastPrinted>
  <dcterms:created xsi:type="dcterms:W3CDTF">2004-11-16T05:58:34Z</dcterms:created>
  <dcterms:modified xsi:type="dcterms:W3CDTF">2008-07-08T06:04:57Z</dcterms:modified>
  <cp:category/>
  <cp:version/>
  <cp:contentType/>
  <cp:contentStatus/>
</cp:coreProperties>
</file>