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<sst xmlns="http://schemas.openxmlformats.org/spreadsheetml/2006/main" count="272" uniqueCount="253">
  <si>
    <t>Код</t>
  </si>
  <si>
    <t>Общегосударственные вопросы</t>
  </si>
  <si>
    <t>Судебная система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</si>
  <si>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</si>
  <si>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</si>
  <si>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</si>
  <si>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</si>
  <si>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</si>
  <si>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</si>
  <si>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</si>
  <si>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</si>
  <si>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</si>
  <si>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</si>
  <si>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</si>
  <si>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</si>
  <si>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</si>
  <si>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</si>
  <si>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</si>
  <si>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</si>
  <si>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</si>
  <si>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</si>
  <si>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Органы прокуратуры</t>
  </si>
  <si>
    <t>Органы внутренних дел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</si>
  <si>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</si>
  <si>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</si>
  <si>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</si>
  <si>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</si>
  <si>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</si>
  <si>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</si>
  <si>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</si>
  <si>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</si>
  <si>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</si>
  <si>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</si>
  <si>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</si>
  <si>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</si>
  <si>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</si>
  <si>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</si>
  <si>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</si>
  <si>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</si>
  <si>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</si>
  <si>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</si>
  <si>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</si>
  <si>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</si>
  <si>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</si>
  <si>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</si>
  <si>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</si>
  <si>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</si>
  <si>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</si>
  <si>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</si>
  <si>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</si>
  <si>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</si>
  <si>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</si>
  <si>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</si>
  <si>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</si>
  <si>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</si>
  <si>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</si>
  <si>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</si>
  <si>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</si>
  <si>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</si>
  <si>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</si>
  <si>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</si>
  <si>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</si>
  <si>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</si>
  <si>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Прикладные научные исследования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</si>
  <si>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</si>
  <si>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</si>
  <si>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</si>
  <si>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</si>
  <si>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</si>
  <si>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</si>
  <si>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Межбюджетные трансферты</t>
  </si>
  <si>
    <t>Наименование</t>
  </si>
  <si>
    <t>ВСЕГО</t>
  </si>
  <si>
    <t>ПРОФИЦИТ/ДЕФИЦИТ</t>
  </si>
  <si>
    <t>0100</t>
  </si>
  <si>
    <t>0102</t>
  </si>
  <si>
    <t>0103</t>
  </si>
  <si>
    <t>0104</t>
  </si>
  <si>
    <t>0105</t>
  </si>
  <si>
    <t>0106</t>
  </si>
  <si>
    <t>0107</t>
  </si>
  <si>
    <t>0112</t>
  </si>
  <si>
    <t>0113</t>
  </si>
  <si>
    <t>0200</t>
  </si>
  <si>
    <t>0203</t>
  </si>
  <si>
    <t>0300</t>
  </si>
  <si>
    <t>0302</t>
  </si>
  <si>
    <t>0309</t>
  </si>
  <si>
    <t>0310</t>
  </si>
  <si>
    <t>0313</t>
  </si>
  <si>
    <t>0400</t>
  </si>
  <si>
    <t>0401</t>
  </si>
  <si>
    <t>0402</t>
  </si>
  <si>
    <t>0404</t>
  </si>
  <si>
    <t>0405</t>
  </si>
  <si>
    <t>0408</t>
  </si>
  <si>
    <t>0409</t>
  </si>
  <si>
    <t>0411</t>
  </si>
  <si>
    <t>0500</t>
  </si>
  <si>
    <t>0504</t>
  </si>
  <si>
    <t>0600</t>
  </si>
  <si>
    <t>0601</t>
  </si>
  <si>
    <t>0602</t>
  </si>
  <si>
    <t>0604</t>
  </si>
  <si>
    <t>0700</t>
  </si>
  <si>
    <t>0702</t>
  </si>
  <si>
    <t>0703</t>
  </si>
  <si>
    <t>0704</t>
  </si>
  <si>
    <t>0705</t>
  </si>
  <si>
    <t>0707</t>
  </si>
  <si>
    <t>0708</t>
  </si>
  <si>
    <t>0709</t>
  </si>
  <si>
    <t>0800</t>
  </si>
  <si>
    <t>0801</t>
  </si>
  <si>
    <t>0804</t>
  </si>
  <si>
    <t>0806</t>
  </si>
  <si>
    <t>0900</t>
  </si>
  <si>
    <t>0901</t>
  </si>
  <si>
    <t>0902</t>
  </si>
  <si>
    <t>0904</t>
  </si>
  <si>
    <t>1000</t>
  </si>
  <si>
    <t>0410</t>
  </si>
  <si>
    <t>0407</t>
  </si>
  <si>
    <t>0503</t>
  </si>
  <si>
    <t>0502</t>
  </si>
  <si>
    <t>0304</t>
  </si>
  <si>
    <t>Волкова</t>
  </si>
  <si>
    <t>итого</t>
  </si>
  <si>
    <t>Кокорин</t>
  </si>
  <si>
    <t>Запруднова</t>
  </si>
  <si>
    <t>Н/Х</t>
  </si>
  <si>
    <t>АПК</t>
  </si>
  <si>
    <t>Канцырев</t>
  </si>
  <si>
    <t>0706</t>
  </si>
  <si>
    <t>бюджетный</t>
  </si>
  <si>
    <t>госдолг</t>
  </si>
  <si>
    <t>Межбюджет</t>
  </si>
  <si>
    <t>Власть</t>
  </si>
  <si>
    <t>Соцсфера</t>
  </si>
  <si>
    <t>Местное</t>
  </si>
  <si>
    <t>Итого</t>
  </si>
  <si>
    <t>Гредасова</t>
  </si>
  <si>
    <t>0406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</si>
  <si>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</si>
  <si>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</si>
  <si>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0114</t>
  </si>
  <si>
    <t>0204</t>
  </si>
  <si>
    <t>Обеспечение пожарной безопасности</t>
  </si>
  <si>
    <t>0412</t>
  </si>
  <si>
    <t>0501</t>
  </si>
  <si>
    <t>Благоустройство</t>
  </si>
  <si>
    <t>0505</t>
  </si>
  <si>
    <t>Экологический контроль</t>
  </si>
  <si>
    <t>Сбор, удаление отходов и очистка сточных вод</t>
  </si>
  <si>
    <t>0603</t>
  </si>
  <si>
    <t>0605</t>
  </si>
  <si>
    <t>Охрана объектов растительного и животного мира и среды их обитания</t>
  </si>
  <si>
    <t>0701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</si>
  <si>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</si>
  <si>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</si>
  <si>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0802</t>
  </si>
  <si>
    <t>0803</t>
  </si>
  <si>
    <t>0805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</si>
  <si>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</si>
  <si>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</si>
  <si>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</si>
  <si>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</si>
  <si>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</si>
  <si>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Скорая медицинская помощь</t>
  </si>
  <si>
    <t>0905</t>
  </si>
  <si>
    <t>Санаторно-оздоровительная помощь</t>
  </si>
  <si>
    <t>0906</t>
  </si>
  <si>
    <t>0907</t>
  </si>
  <si>
    <t>Санитарно-эпидемиологическое благополучие</t>
  </si>
  <si>
    <t>0908</t>
  </si>
  <si>
    <t>Физическая культура и спорт</t>
  </si>
  <si>
    <t>0909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</si>
  <si>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</si>
  <si>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</si>
  <si>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0910</t>
  </si>
  <si>
    <t>1102</t>
  </si>
  <si>
    <t>1103</t>
  </si>
  <si>
    <t>1104</t>
  </si>
  <si>
    <t>Иные межбюджетные трансферты</t>
  </si>
  <si>
    <t>1105</t>
  </si>
  <si>
    <t>Межбюджетные трансферты бюджетам государственных внебюджетных фондов</t>
  </si>
  <si>
    <t>0108</t>
  </si>
  <si>
    <t>0109</t>
  </si>
  <si>
    <t>0110</t>
  </si>
  <si>
    <t>0111</t>
  </si>
  <si>
    <t>0201</t>
  </si>
  <si>
    <t>0202</t>
  </si>
  <si>
    <t>Модернизация Вооруженных Сил Российской Федерации и воинских формирований</t>
  </si>
  <si>
    <t>0205</t>
  </si>
  <si>
    <t>0206</t>
  </si>
  <si>
    <t>0207</t>
  </si>
  <si>
    <t>0208</t>
  </si>
  <si>
    <t>0209</t>
  </si>
  <si>
    <t>0301</t>
  </si>
  <si>
    <t>0303</t>
  </si>
  <si>
    <t>0305</t>
  </si>
  <si>
    <t>0306</t>
  </si>
  <si>
    <t>0307</t>
  </si>
  <si>
    <t>0308</t>
  </si>
  <si>
    <t>0311</t>
  </si>
  <si>
    <t>0312</t>
  </si>
  <si>
    <t>0314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</si>
  <si>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</si>
  <si>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</si>
  <si>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</si>
  <si>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</t>
  </si>
  <si>
    <t xml:space="preserve">Расходы за счет средств от предпринимательской и иной приносящей доход деятельности 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</si>
  <si>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</si>
  <si>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</si>
  <si>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</si>
  <si>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(финансового - бюджетного) надзора</t>
  </si>
  <si>
    <r>
      <t xml:space="preserve">Дорожное </t>
    </r>
    <r>
      <rPr>
        <sz val="12"/>
        <rFont val="Times New Roman"/>
        <family val="1"/>
      </rPr>
      <t>хозяйство</t>
    </r>
  </si>
  <si>
    <t>кокорин</t>
  </si>
  <si>
    <t>Заготовка, переработка, хранение и обеспечение безопасности донорской крови и ее компонентов</t>
  </si>
  <si>
    <t>Защита населения  и территории от чрезвычайных ситуаций природного и техногенного характера, гражданская оборона</t>
  </si>
  <si>
    <t>запруднова</t>
  </si>
  <si>
    <t>гос.долг</t>
  </si>
  <si>
    <t>корнев</t>
  </si>
  <si>
    <t>УСЛОВНЫЕ</t>
  </si>
  <si>
    <t>Условно утвержденные расходы</t>
  </si>
  <si>
    <t>деренговская</t>
  </si>
  <si>
    <t xml:space="preserve">степанова </t>
  </si>
  <si>
    <t xml:space="preserve">итого </t>
  </si>
  <si>
    <t>образование</t>
  </si>
  <si>
    <t>скребкова</t>
  </si>
  <si>
    <t>хайбулина</t>
  </si>
  <si>
    <t>баулина</t>
  </si>
  <si>
    <t xml:space="preserve">2009 год           (тыс. руб.)            </t>
  </si>
  <si>
    <t xml:space="preserve">2010 год             (тыс. руб.)           </t>
  </si>
  <si>
    <t xml:space="preserve">2011 год             (тыс. руб.)      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</si>
  <si>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</si>
  <si>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поправки</t>
  </si>
  <si>
    <t>местное</t>
  </si>
  <si>
    <t>Болхова</t>
  </si>
  <si>
    <t xml:space="preserve">Волкова </t>
  </si>
  <si>
    <t>Резервный фонд</t>
  </si>
  <si>
    <t>Приложение 2</t>
  </si>
  <si>
    <t>Модернизация  внутренних войск, войск гражданской обороны, а также правоохранительных и иных органов</t>
  </si>
  <si>
    <t>к Закону Ярославской области</t>
  </si>
  <si>
    <t>Заключительные поправки</t>
  </si>
  <si>
    <t>Госдолг</t>
  </si>
  <si>
    <t>Мартюкова</t>
  </si>
  <si>
    <t>Топливно-энергетический комплекс</t>
  </si>
  <si>
    <t>соцсфера</t>
  </si>
  <si>
    <t>власть</t>
  </si>
  <si>
    <t>стройка</t>
  </si>
  <si>
    <t>Изменение расходов областного бюджета на 2009 год                                                 по разделам и подразделам классификации расходов бюджетов Российской Федерации, предусмотренных приложением 2                                                           к Закону Ярославской области "Об областном бюджете на 2009 год                                                           и на плановый период 2010 и 2011 годов"</t>
  </si>
  <si>
    <t>от 27.01.2009 № 1-з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</si>
</sst>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1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vstigneeva\Local%20Settings\Temporary%20Internet%20Files\OLK4\&#1055;&#1088;&#1080;&#1083;&#1086;&#1078;&#1077;&#1085;&#1080;&#1077;%201%20&#1076;&#1086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6">
          <cell r="C106">
            <v>39614535</v>
          </cell>
          <cell r="D106">
            <v>-919005</v>
          </cell>
          <cell r="E106">
            <v>38695530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00390625" style="11" customWidth="1"/>
    <col min="2" max="2" width="57.25390625" style="3" customWidth="1"/>
    <col min="3" max="3" width="15.00390625" style="1" hidden="1" customWidth="1"/>
    <col min="4" max="4" width="11.00390625" style="1" hidden="1" customWidth="1"/>
    <col min="5" max="5" width="13.375" style="1" hidden="1" customWidth="1"/>
    <col min="6" max="6" width="15.00390625" style="1" hidden="1" customWidth="1"/>
    <col min="7" max="7" width="17.25390625" style="1" hidden="1" customWidth="1"/>
    <col min="8" max="8" width="12.00390625" style="1" hidden="1" customWidth="1"/>
    <col min="9" max="9" width="11.00390625" style="1" hidden="1" customWidth="1"/>
    <col min="10" max="10" width="17.25390625" style="1" hidden="1" customWidth="1"/>
    <col min="11" max="11" width="15.00390625" style="1" hidden="1" customWidth="1"/>
    <col min="12" max="12" width="11.00390625" style="1" hidden="1" customWidth="1"/>
    <col min="13" max="13" width="16.875" style="1" hidden="1" customWidth="1"/>
    <col min="14" max="14" width="15.00390625" style="1" bestFit="1" customWidth="1"/>
    <col min="15" max="15" width="17.25390625" style="1" hidden="1" customWidth="1"/>
    <col min="16" max="16384" width="11.875" style="1" customWidth="1"/>
  </cols>
  <sheetData>
    <row r="1" spans="1:15" s="3" customFormat="1" ht="18.75" customHeight="1">
      <c r="A1" s="40" t="s">
        <v>241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3" customFormat="1" ht="17.25" customHeight="1">
      <c r="A2" s="40" t="s">
        <v>243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" customFormat="1" ht="18.75" customHeight="1">
      <c r="A3" s="40" t="s">
        <v>252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2" s="3" customFormat="1" ht="18.75" customHeight="1">
      <c r="A4" s="40"/>
      <c r="B4" s="40"/>
    </row>
    <row r="5" spans="1:15" s="3" customFormat="1" ht="15.75">
      <c r="A5" s="7"/>
      <c r="B5" s="2"/>
      <c r="C5" s="2"/>
      <c r="D5" s="2"/>
      <c r="E5" s="2"/>
      <c r="F5" s="2"/>
      <c r="G5" s="2"/>
      <c r="H5" s="2"/>
      <c r="I5" s="2"/>
      <c r="J5" s="2"/>
      <c r="N5" s="2"/>
      <c r="O5" s="2"/>
    </row>
    <row r="6" spans="1:15" s="3" customFormat="1" ht="104.25" customHeight="1">
      <c r="A6" s="46" t="s">
        <v>251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="3" customFormat="1" ht="15.75">
      <c r="A7" s="8"/>
    </row>
    <row r="8" spans="1:15" s="4" customFormat="1" ht="31.5">
      <c r="A8" s="33" t="s">
        <v>0</v>
      </c>
      <c r="B8" s="34" t="s">
        <v>71</v>
      </c>
      <c r="C8" s="12" t="s">
        <v>232</v>
      </c>
      <c r="D8" s="12" t="s">
        <v>236</v>
      </c>
      <c r="E8" s="12" t="s">
        <v>232</v>
      </c>
      <c r="F8" s="12" t="s">
        <v>244</v>
      </c>
      <c r="G8" s="12" t="s">
        <v>232</v>
      </c>
      <c r="H8" s="12" t="s">
        <v>233</v>
      </c>
      <c r="I8" s="12" t="s">
        <v>236</v>
      </c>
      <c r="J8" s="12" t="s">
        <v>233</v>
      </c>
      <c r="K8" s="12" t="s">
        <v>234</v>
      </c>
      <c r="L8" s="12" t="s">
        <v>236</v>
      </c>
      <c r="M8" s="12" t="s">
        <v>234</v>
      </c>
      <c r="N8" s="12" t="s">
        <v>232</v>
      </c>
      <c r="O8" s="12" t="s">
        <v>232</v>
      </c>
    </row>
    <row r="9" spans="1:15" s="16" customFormat="1" ht="15.75" hidden="1">
      <c r="A9" s="9" t="s">
        <v>74</v>
      </c>
      <c r="B9" s="37" t="s">
        <v>1</v>
      </c>
      <c r="C9" s="22">
        <f>SUM(C10:C22)</f>
        <v>2760800</v>
      </c>
      <c r="D9" s="22">
        <f>SUM(D10:D22)</f>
        <v>-401284</v>
      </c>
      <c r="E9" s="22">
        <f>C9+D9</f>
        <v>2359516</v>
      </c>
      <c r="F9" s="22">
        <f>SUM(F10:F22)</f>
        <v>-46600</v>
      </c>
      <c r="G9" s="22">
        <f>E9+F9</f>
        <v>2312916</v>
      </c>
      <c r="H9" s="14">
        <f>SUM(H10:H22)</f>
        <v>2949498</v>
      </c>
      <c r="I9" s="14">
        <f>SUM(I10:I22)</f>
        <v>0</v>
      </c>
      <c r="J9" s="14">
        <f>H9+I9</f>
        <v>2949498</v>
      </c>
      <c r="K9" s="14">
        <f>SUM(K10:K22)</f>
        <v>3134867</v>
      </c>
      <c r="L9" s="14">
        <f>SUM(L10:L22)</f>
        <v>0</v>
      </c>
      <c r="M9" s="14">
        <f>K9+L9</f>
        <v>3134867</v>
      </c>
      <c r="N9" s="22">
        <f>SUM(N10:N22)</f>
        <v>0</v>
      </c>
      <c r="O9" s="22">
        <f>G9+N9</f>
        <v>2312916</v>
      </c>
    </row>
    <row r="10" spans="1:15" ht="33" customHeight="1" hidden="1">
      <c r="A10" s="10" t="s">
        <v>75</v>
      </c>
      <c r="B10" s="35" t="s">
        <v>143</v>
      </c>
      <c r="C10" s="15">
        <v>2468</v>
      </c>
      <c r="D10" s="15">
        <v>-317</v>
      </c>
      <c r="E10" s="15">
        <f aca="true" t="shared" si="0" ref="E10:G73">C10+D10</f>
        <v>2151</v>
      </c>
      <c r="F10" s="15"/>
      <c r="G10" s="15">
        <f t="shared" si="0"/>
        <v>2151</v>
      </c>
      <c r="H10" s="15">
        <v>2653</v>
      </c>
      <c r="I10" s="15"/>
      <c r="J10" s="15">
        <f aca="true" t="shared" si="1" ref="J10:J73">H10+I10</f>
        <v>2653</v>
      </c>
      <c r="K10" s="15">
        <v>2844</v>
      </c>
      <c r="L10" s="15"/>
      <c r="M10" s="15">
        <f aca="true" t="shared" si="2" ref="M10:M73">K10+L10</f>
        <v>2844</v>
      </c>
      <c r="N10" s="15"/>
      <c r="O10" s="15">
        <f aca="true" t="shared" si="3" ref="O10:O73">G10+N10</f>
        <v>2151</v>
      </c>
    </row>
    <row r="11" spans="1:15" ht="48" customHeight="1" hidden="1">
      <c r="A11" s="10" t="s">
        <v>76</v>
      </c>
      <c r="B11" s="35" t="s">
        <v>235</v>
      </c>
      <c r="C11" s="15">
        <v>108941</v>
      </c>
      <c r="D11" s="15">
        <v>-6531</v>
      </c>
      <c r="E11" s="15">
        <f t="shared" si="0"/>
        <v>102410</v>
      </c>
      <c r="F11" s="15"/>
      <c r="G11" s="15">
        <f t="shared" si="0"/>
        <v>102410</v>
      </c>
      <c r="H11" s="15">
        <v>117112</v>
      </c>
      <c r="I11" s="15"/>
      <c r="J11" s="15">
        <f t="shared" si="1"/>
        <v>117112</v>
      </c>
      <c r="K11" s="15">
        <v>125544</v>
      </c>
      <c r="L11" s="15"/>
      <c r="M11" s="15">
        <f t="shared" si="2"/>
        <v>125544</v>
      </c>
      <c r="N11" s="15"/>
      <c r="O11" s="15">
        <f t="shared" si="3"/>
        <v>102410</v>
      </c>
    </row>
    <row r="12" spans="1:15" ht="48.75" customHeight="1" hidden="1">
      <c r="A12" s="10" t="s">
        <v>77</v>
      </c>
      <c r="B12" s="35" t="s">
        <v>144</v>
      </c>
      <c r="C12" s="15">
        <v>414922</v>
      </c>
      <c r="D12" s="15">
        <v>-73754</v>
      </c>
      <c r="E12" s="15">
        <f t="shared" si="0"/>
        <v>341168</v>
      </c>
      <c r="F12" s="15"/>
      <c r="G12" s="15">
        <f t="shared" si="0"/>
        <v>341168</v>
      </c>
      <c r="H12" s="15">
        <v>448441</v>
      </c>
      <c r="I12" s="15"/>
      <c r="J12" s="15">
        <f t="shared" si="1"/>
        <v>448441</v>
      </c>
      <c r="K12" s="15">
        <v>480614</v>
      </c>
      <c r="L12" s="15"/>
      <c r="M12" s="15">
        <f t="shared" si="2"/>
        <v>480614</v>
      </c>
      <c r="N12" s="15"/>
      <c r="O12" s="15">
        <f t="shared" si="3"/>
        <v>341168</v>
      </c>
    </row>
    <row r="13" spans="1:15" ht="15.75" hidden="1">
      <c r="A13" s="10" t="s">
        <v>78</v>
      </c>
      <c r="B13" s="35" t="s">
        <v>2</v>
      </c>
      <c r="C13" s="15">
        <v>68127</v>
      </c>
      <c r="D13" s="15">
        <v>-6377</v>
      </c>
      <c r="E13" s="15">
        <f t="shared" si="0"/>
        <v>61750</v>
      </c>
      <c r="F13" s="15"/>
      <c r="G13" s="15">
        <f t="shared" si="0"/>
        <v>61750</v>
      </c>
      <c r="H13" s="15">
        <v>73256</v>
      </c>
      <c r="I13" s="15"/>
      <c r="J13" s="15">
        <f t="shared" si="1"/>
        <v>73256</v>
      </c>
      <c r="K13" s="15">
        <v>78530</v>
      </c>
      <c r="L13" s="15"/>
      <c r="M13" s="15">
        <f t="shared" si="2"/>
        <v>78530</v>
      </c>
      <c r="N13" s="15"/>
      <c r="O13" s="15">
        <f t="shared" si="3"/>
        <v>61750</v>
      </c>
    </row>
    <row r="14" spans="1:15" ht="48" customHeight="1" hidden="1">
      <c r="A14" s="10" t="s">
        <v>79</v>
      </c>
      <c r="B14" s="35" t="s">
        <v>215</v>
      </c>
      <c r="C14" s="15">
        <v>123601</v>
      </c>
      <c r="D14" s="15">
        <v>-13524</v>
      </c>
      <c r="E14" s="15">
        <f t="shared" si="0"/>
        <v>110077</v>
      </c>
      <c r="F14" s="15"/>
      <c r="G14" s="15">
        <f t="shared" si="0"/>
        <v>110077</v>
      </c>
      <c r="H14" s="15">
        <v>132899</v>
      </c>
      <c r="I14" s="15"/>
      <c r="J14" s="15">
        <f t="shared" si="1"/>
        <v>132899</v>
      </c>
      <c r="K14" s="15">
        <v>142467</v>
      </c>
      <c r="L14" s="15"/>
      <c r="M14" s="15">
        <f t="shared" si="2"/>
        <v>142467</v>
      </c>
      <c r="N14" s="15"/>
      <c r="O14" s="15">
        <f t="shared" si="3"/>
        <v>110077</v>
      </c>
    </row>
    <row r="15" spans="1:15" ht="15.75" customHeight="1" hidden="1">
      <c r="A15" s="10" t="s">
        <v>80</v>
      </c>
      <c r="B15" s="35" t="s">
        <v>3</v>
      </c>
      <c r="C15" s="15">
        <v>20686</v>
      </c>
      <c r="D15" s="15">
        <v>-2445</v>
      </c>
      <c r="E15" s="15">
        <f t="shared" si="0"/>
        <v>18241</v>
      </c>
      <c r="F15" s="15"/>
      <c r="G15" s="15">
        <f t="shared" si="0"/>
        <v>18241</v>
      </c>
      <c r="H15" s="15">
        <v>22241</v>
      </c>
      <c r="I15" s="15"/>
      <c r="J15" s="15">
        <f t="shared" si="1"/>
        <v>22241</v>
      </c>
      <c r="K15" s="15">
        <v>23842</v>
      </c>
      <c r="L15" s="15"/>
      <c r="M15" s="15">
        <f t="shared" si="2"/>
        <v>23842</v>
      </c>
      <c r="N15" s="15"/>
      <c r="O15" s="15">
        <f t="shared" si="3"/>
        <v>18241</v>
      </c>
    </row>
    <row r="16" spans="1:15" ht="31.5" hidden="1">
      <c r="A16" s="10" t="s">
        <v>186</v>
      </c>
      <c r="B16" s="35" t="s">
        <v>4</v>
      </c>
      <c r="C16" s="15"/>
      <c r="D16" s="15"/>
      <c r="E16" s="15">
        <f t="shared" si="0"/>
        <v>0</v>
      </c>
      <c r="F16" s="15"/>
      <c r="G16" s="15">
        <f t="shared" si="0"/>
        <v>0</v>
      </c>
      <c r="H16" s="15"/>
      <c r="I16" s="15"/>
      <c r="J16" s="15">
        <f t="shared" si="1"/>
        <v>0</v>
      </c>
      <c r="K16" s="15"/>
      <c r="L16" s="15"/>
      <c r="M16" s="15">
        <f t="shared" si="2"/>
        <v>0</v>
      </c>
      <c r="N16" s="15"/>
      <c r="O16" s="15">
        <f t="shared" si="3"/>
        <v>0</v>
      </c>
    </row>
    <row r="17" spans="1:15" ht="15.75" hidden="1">
      <c r="A17" s="10" t="s">
        <v>187</v>
      </c>
      <c r="B17" s="35" t="s">
        <v>5</v>
      </c>
      <c r="C17" s="15"/>
      <c r="D17" s="15"/>
      <c r="E17" s="15">
        <f t="shared" si="0"/>
        <v>0</v>
      </c>
      <c r="F17" s="15"/>
      <c r="G17" s="15">
        <f t="shared" si="0"/>
        <v>0</v>
      </c>
      <c r="H17" s="15"/>
      <c r="I17" s="15"/>
      <c r="J17" s="15">
        <f t="shared" si="1"/>
        <v>0</v>
      </c>
      <c r="K17" s="15"/>
      <c r="L17" s="15"/>
      <c r="M17" s="15">
        <f t="shared" si="2"/>
        <v>0</v>
      </c>
      <c r="N17" s="15"/>
      <c r="O17" s="15">
        <f t="shared" si="3"/>
        <v>0</v>
      </c>
    </row>
    <row r="18" spans="1:15" ht="15.75" hidden="1">
      <c r="A18" s="10" t="s">
        <v>188</v>
      </c>
      <c r="B18" s="35" t="s">
        <v>6</v>
      </c>
      <c r="C18" s="15"/>
      <c r="D18" s="15"/>
      <c r="E18" s="15">
        <f t="shared" si="0"/>
        <v>0</v>
      </c>
      <c r="F18" s="15"/>
      <c r="G18" s="15">
        <f t="shared" si="0"/>
        <v>0</v>
      </c>
      <c r="H18" s="15"/>
      <c r="I18" s="15"/>
      <c r="J18" s="15">
        <f t="shared" si="1"/>
        <v>0</v>
      </c>
      <c r="K18" s="15"/>
      <c r="L18" s="15"/>
      <c r="M18" s="15">
        <f t="shared" si="2"/>
        <v>0</v>
      </c>
      <c r="N18" s="15"/>
      <c r="O18" s="15">
        <f t="shared" si="3"/>
        <v>0</v>
      </c>
    </row>
    <row r="19" spans="1:15" ht="16.5" customHeight="1" hidden="1">
      <c r="A19" s="10" t="s">
        <v>189</v>
      </c>
      <c r="B19" s="38" t="s">
        <v>7</v>
      </c>
      <c r="C19" s="39">
        <f>932600+5968</f>
        <v>938568</v>
      </c>
      <c r="D19" s="39"/>
      <c r="E19" s="39">
        <f t="shared" si="0"/>
        <v>938568</v>
      </c>
      <c r="F19" s="39">
        <v>-46600</v>
      </c>
      <c r="G19" s="39">
        <f t="shared" si="0"/>
        <v>891968</v>
      </c>
      <c r="H19" s="15">
        <f>1190860+7318</f>
        <v>1198178</v>
      </c>
      <c r="I19" s="15"/>
      <c r="J19" s="15">
        <f t="shared" si="1"/>
        <v>1198178</v>
      </c>
      <c r="K19" s="15">
        <f>1329595+7401</f>
        <v>1336996</v>
      </c>
      <c r="L19" s="15"/>
      <c r="M19" s="15">
        <f t="shared" si="2"/>
        <v>1336996</v>
      </c>
      <c r="N19" s="39"/>
      <c r="O19" s="39">
        <f t="shared" si="3"/>
        <v>891968</v>
      </c>
    </row>
    <row r="20" spans="1:15" s="17" customFormat="1" ht="15.75" hidden="1">
      <c r="A20" s="10" t="s">
        <v>81</v>
      </c>
      <c r="B20" s="35" t="s">
        <v>8</v>
      </c>
      <c r="C20" s="15">
        <v>100000</v>
      </c>
      <c r="D20" s="15">
        <v>-64525</v>
      </c>
      <c r="E20" s="15">
        <f t="shared" si="0"/>
        <v>35475</v>
      </c>
      <c r="F20" s="15"/>
      <c r="G20" s="15">
        <f t="shared" si="0"/>
        <v>35475</v>
      </c>
      <c r="H20" s="15">
        <v>100000</v>
      </c>
      <c r="I20" s="15"/>
      <c r="J20" s="15">
        <f t="shared" si="1"/>
        <v>100000</v>
      </c>
      <c r="K20" s="15">
        <v>100000</v>
      </c>
      <c r="L20" s="15"/>
      <c r="M20" s="15">
        <f t="shared" si="2"/>
        <v>100000</v>
      </c>
      <c r="N20" s="15"/>
      <c r="O20" s="15">
        <f t="shared" si="3"/>
        <v>35475</v>
      </c>
    </row>
    <row r="21" spans="1:15" ht="31.5" hidden="1">
      <c r="A21" s="10" t="s">
        <v>82</v>
      </c>
      <c r="B21" s="35" t="s">
        <v>9</v>
      </c>
      <c r="C21" s="15"/>
      <c r="D21" s="15"/>
      <c r="E21" s="15">
        <f t="shared" si="0"/>
        <v>0</v>
      </c>
      <c r="F21" s="15"/>
      <c r="G21" s="15">
        <f t="shared" si="0"/>
        <v>0</v>
      </c>
      <c r="H21" s="15"/>
      <c r="I21" s="15"/>
      <c r="J21" s="15">
        <f t="shared" si="1"/>
        <v>0</v>
      </c>
      <c r="K21" s="15"/>
      <c r="L21" s="15"/>
      <c r="M21" s="15">
        <f t="shared" si="2"/>
        <v>0</v>
      </c>
      <c r="N21" s="15"/>
      <c r="O21" s="15">
        <f t="shared" si="3"/>
        <v>0</v>
      </c>
    </row>
    <row r="22" spans="1:15" ht="15.75" hidden="1">
      <c r="A22" s="10" t="s">
        <v>145</v>
      </c>
      <c r="B22" s="35" t="s">
        <v>10</v>
      </c>
      <c r="C22" s="15">
        <f>120000+741841+14057+105300+9289-7000</f>
        <v>983487</v>
      </c>
      <c r="D22" s="15">
        <f>-40000-193811</f>
        <v>-233811</v>
      </c>
      <c r="E22" s="15">
        <f t="shared" si="0"/>
        <v>749676</v>
      </c>
      <c r="F22" s="15"/>
      <c r="G22" s="15">
        <f t="shared" si="0"/>
        <v>749676</v>
      </c>
      <c r="H22" s="15">
        <f>60000+676667+14100+110486-7525+990</f>
        <v>854718</v>
      </c>
      <c r="I22" s="15"/>
      <c r="J22" s="15">
        <f t="shared" si="1"/>
        <v>854718</v>
      </c>
      <c r="K22" s="15">
        <f>40000+719929+13714+77464-8067+990</f>
        <v>844030</v>
      </c>
      <c r="L22" s="15"/>
      <c r="M22" s="15">
        <f t="shared" si="2"/>
        <v>844030</v>
      </c>
      <c r="N22" s="15"/>
      <c r="O22" s="15">
        <f t="shared" si="3"/>
        <v>749676</v>
      </c>
    </row>
    <row r="23" spans="1:15" s="6" customFormat="1" ht="15.75" hidden="1">
      <c r="A23" s="9" t="s">
        <v>83</v>
      </c>
      <c r="B23" s="36" t="s">
        <v>11</v>
      </c>
      <c r="C23" s="14">
        <f>SUM(C24:C32)</f>
        <v>29541</v>
      </c>
      <c r="D23" s="14">
        <f>SUM(D24:D32)</f>
        <v>-1021</v>
      </c>
      <c r="E23" s="14">
        <f t="shared" si="0"/>
        <v>28520</v>
      </c>
      <c r="F23" s="14">
        <f>SUM(F24:F32)</f>
        <v>0</v>
      </c>
      <c r="G23" s="14">
        <f t="shared" si="0"/>
        <v>28520</v>
      </c>
      <c r="H23" s="14">
        <f>SUM(H24:H32)</f>
        <v>31691</v>
      </c>
      <c r="I23" s="14">
        <f>SUM(I24:I32)</f>
        <v>0</v>
      </c>
      <c r="J23" s="14">
        <f t="shared" si="1"/>
        <v>31691</v>
      </c>
      <c r="K23" s="14">
        <f>SUM(K24:K32)</f>
        <v>33972</v>
      </c>
      <c r="L23" s="14">
        <f>SUM(L24:L32)</f>
        <v>0</v>
      </c>
      <c r="M23" s="14">
        <f t="shared" si="2"/>
        <v>33972</v>
      </c>
      <c r="N23" s="14">
        <f>SUM(N24:N32)</f>
        <v>0</v>
      </c>
      <c r="O23" s="14">
        <f t="shared" si="3"/>
        <v>28520</v>
      </c>
    </row>
    <row r="24" spans="1:15" ht="15.75" hidden="1">
      <c r="A24" s="10" t="s">
        <v>190</v>
      </c>
      <c r="B24" s="35" t="s">
        <v>12</v>
      </c>
      <c r="C24" s="15"/>
      <c r="D24" s="15"/>
      <c r="E24" s="15">
        <f t="shared" si="0"/>
        <v>0</v>
      </c>
      <c r="F24" s="15"/>
      <c r="G24" s="15">
        <f t="shared" si="0"/>
        <v>0</v>
      </c>
      <c r="H24" s="15"/>
      <c r="I24" s="15"/>
      <c r="J24" s="15">
        <f t="shared" si="1"/>
        <v>0</v>
      </c>
      <c r="K24" s="15"/>
      <c r="L24" s="15"/>
      <c r="M24" s="15">
        <f t="shared" si="2"/>
        <v>0</v>
      </c>
      <c r="N24" s="15"/>
      <c r="O24" s="15">
        <f t="shared" si="3"/>
        <v>0</v>
      </c>
    </row>
    <row r="25" spans="1:15" ht="31.5" hidden="1">
      <c r="A25" s="10" t="s">
        <v>191</v>
      </c>
      <c r="B25" s="35" t="s">
        <v>192</v>
      </c>
      <c r="C25" s="15"/>
      <c r="D25" s="15"/>
      <c r="E25" s="15">
        <f t="shared" si="0"/>
        <v>0</v>
      </c>
      <c r="F25" s="15"/>
      <c r="G25" s="15">
        <f t="shared" si="0"/>
        <v>0</v>
      </c>
      <c r="H25" s="15"/>
      <c r="I25" s="15"/>
      <c r="J25" s="15">
        <f t="shared" si="1"/>
        <v>0</v>
      </c>
      <c r="K25" s="15"/>
      <c r="L25" s="15"/>
      <c r="M25" s="15">
        <f t="shared" si="2"/>
        <v>0</v>
      </c>
      <c r="N25" s="15"/>
      <c r="O25" s="15">
        <f t="shared" si="3"/>
        <v>0</v>
      </c>
    </row>
    <row r="26" spans="1:15" ht="15.75" hidden="1">
      <c r="A26" s="10" t="s">
        <v>84</v>
      </c>
      <c r="B26" s="35" t="s">
        <v>13</v>
      </c>
      <c r="C26" s="15"/>
      <c r="D26" s="15"/>
      <c r="E26" s="15">
        <f t="shared" si="0"/>
        <v>0</v>
      </c>
      <c r="F26" s="15"/>
      <c r="G26" s="15">
        <f t="shared" si="0"/>
        <v>0</v>
      </c>
      <c r="H26" s="15"/>
      <c r="I26" s="15"/>
      <c r="J26" s="15">
        <f t="shared" si="1"/>
        <v>0</v>
      </c>
      <c r="K26" s="15"/>
      <c r="L26" s="15"/>
      <c r="M26" s="15">
        <f t="shared" si="2"/>
        <v>0</v>
      </c>
      <c r="N26" s="15"/>
      <c r="O26" s="15">
        <f t="shared" si="3"/>
        <v>0</v>
      </c>
    </row>
    <row r="27" spans="1:15" ht="15.75" hidden="1">
      <c r="A27" s="10" t="s">
        <v>146</v>
      </c>
      <c r="B27" s="35" t="s">
        <v>14</v>
      </c>
      <c r="C27" s="15">
        <f>5800+10927+12753+61</f>
        <v>29541</v>
      </c>
      <c r="D27" s="15">
        <v>-1021</v>
      </c>
      <c r="E27" s="15">
        <f t="shared" si="0"/>
        <v>28520</v>
      </c>
      <c r="F27" s="15"/>
      <c r="G27" s="15">
        <f t="shared" si="0"/>
        <v>28520</v>
      </c>
      <c r="H27" s="15">
        <f>6235+11747+13709</f>
        <v>31691</v>
      </c>
      <c r="I27" s="15"/>
      <c r="J27" s="15">
        <f t="shared" si="1"/>
        <v>31691</v>
      </c>
      <c r="K27" s="15">
        <f>6684+12592+14696</f>
        <v>33972</v>
      </c>
      <c r="L27" s="15"/>
      <c r="M27" s="15">
        <f t="shared" si="2"/>
        <v>33972</v>
      </c>
      <c r="N27" s="15"/>
      <c r="O27" s="15">
        <f t="shared" si="3"/>
        <v>28520</v>
      </c>
    </row>
    <row r="28" spans="1:15" ht="31.5" hidden="1">
      <c r="A28" s="10" t="s">
        <v>193</v>
      </c>
      <c r="B28" s="35" t="s">
        <v>15</v>
      </c>
      <c r="C28" s="15"/>
      <c r="D28" s="15"/>
      <c r="E28" s="15">
        <f t="shared" si="0"/>
        <v>0</v>
      </c>
      <c r="F28" s="15"/>
      <c r="G28" s="15">
        <f t="shared" si="0"/>
        <v>0</v>
      </c>
      <c r="H28" s="15"/>
      <c r="I28" s="15"/>
      <c r="J28" s="15">
        <f t="shared" si="1"/>
        <v>0</v>
      </c>
      <c r="K28" s="15"/>
      <c r="L28" s="15"/>
      <c r="M28" s="15">
        <f t="shared" si="2"/>
        <v>0</v>
      </c>
      <c r="N28" s="15"/>
      <c r="O28" s="15">
        <f t="shared" si="3"/>
        <v>0</v>
      </c>
    </row>
    <row r="29" spans="1:15" ht="15.75" hidden="1">
      <c r="A29" s="10" t="s">
        <v>194</v>
      </c>
      <c r="B29" s="35" t="s">
        <v>16</v>
      </c>
      <c r="C29" s="15"/>
      <c r="D29" s="15"/>
      <c r="E29" s="15">
        <f t="shared" si="0"/>
        <v>0</v>
      </c>
      <c r="F29" s="15"/>
      <c r="G29" s="15">
        <f t="shared" si="0"/>
        <v>0</v>
      </c>
      <c r="H29" s="15"/>
      <c r="I29" s="15"/>
      <c r="J29" s="15">
        <f t="shared" si="1"/>
        <v>0</v>
      </c>
      <c r="K29" s="15"/>
      <c r="L29" s="15"/>
      <c r="M29" s="15">
        <f t="shared" si="2"/>
        <v>0</v>
      </c>
      <c r="N29" s="15"/>
      <c r="O29" s="15">
        <f t="shared" si="3"/>
        <v>0</v>
      </c>
    </row>
    <row r="30" spans="1:15" ht="31.5" hidden="1">
      <c r="A30" s="10" t="s">
        <v>195</v>
      </c>
      <c r="B30" s="35" t="s">
        <v>17</v>
      </c>
      <c r="C30" s="15"/>
      <c r="D30" s="15"/>
      <c r="E30" s="15">
        <f t="shared" si="0"/>
        <v>0</v>
      </c>
      <c r="F30" s="15"/>
      <c r="G30" s="15">
        <f t="shared" si="0"/>
        <v>0</v>
      </c>
      <c r="H30" s="15"/>
      <c r="I30" s="15"/>
      <c r="J30" s="15">
        <f t="shared" si="1"/>
        <v>0</v>
      </c>
      <c r="K30" s="15"/>
      <c r="L30" s="15"/>
      <c r="M30" s="15">
        <f t="shared" si="2"/>
        <v>0</v>
      </c>
      <c r="N30" s="15"/>
      <c r="O30" s="15">
        <f t="shared" si="3"/>
        <v>0</v>
      </c>
    </row>
    <row r="31" spans="1:15" ht="31.5" hidden="1">
      <c r="A31" s="10" t="s">
        <v>196</v>
      </c>
      <c r="B31" s="35" t="s">
        <v>18</v>
      </c>
      <c r="C31" s="15"/>
      <c r="D31" s="15"/>
      <c r="E31" s="15">
        <f t="shared" si="0"/>
        <v>0</v>
      </c>
      <c r="F31" s="15"/>
      <c r="G31" s="15">
        <f t="shared" si="0"/>
        <v>0</v>
      </c>
      <c r="H31" s="15"/>
      <c r="I31" s="15"/>
      <c r="J31" s="15">
        <f t="shared" si="1"/>
        <v>0</v>
      </c>
      <c r="K31" s="15"/>
      <c r="L31" s="15"/>
      <c r="M31" s="15">
        <f t="shared" si="2"/>
        <v>0</v>
      </c>
      <c r="N31" s="15"/>
      <c r="O31" s="15">
        <f t="shared" si="3"/>
        <v>0</v>
      </c>
    </row>
    <row r="32" spans="1:15" ht="15.75" hidden="1">
      <c r="A32" s="10" t="s">
        <v>197</v>
      </c>
      <c r="B32" s="35" t="s">
        <v>19</v>
      </c>
      <c r="C32" s="15"/>
      <c r="D32" s="15"/>
      <c r="E32" s="15">
        <f t="shared" si="0"/>
        <v>0</v>
      </c>
      <c r="F32" s="15"/>
      <c r="G32" s="15">
        <f t="shared" si="0"/>
        <v>0</v>
      </c>
      <c r="H32" s="15"/>
      <c r="I32" s="15"/>
      <c r="J32" s="15">
        <f t="shared" si="1"/>
        <v>0</v>
      </c>
      <c r="K32" s="15"/>
      <c r="L32" s="15"/>
      <c r="M32" s="15">
        <f t="shared" si="2"/>
        <v>0</v>
      </c>
      <c r="N32" s="15"/>
      <c r="O32" s="15">
        <f t="shared" si="3"/>
        <v>0</v>
      </c>
    </row>
    <row r="33" spans="1:15" s="6" customFormat="1" ht="33" customHeight="1" hidden="1">
      <c r="A33" s="9" t="s">
        <v>85</v>
      </c>
      <c r="B33" s="36" t="s">
        <v>20</v>
      </c>
      <c r="C33" s="14">
        <f>SUM(C34:C47)</f>
        <v>1241502</v>
      </c>
      <c r="D33" s="14">
        <f>SUM(D34:D47)</f>
        <v>-36268</v>
      </c>
      <c r="E33" s="14">
        <f t="shared" si="0"/>
        <v>1205234</v>
      </c>
      <c r="F33" s="14">
        <f>SUM(F34:F47)</f>
        <v>0</v>
      </c>
      <c r="G33" s="14">
        <f t="shared" si="0"/>
        <v>1205234</v>
      </c>
      <c r="H33" s="14">
        <f>SUM(H34:H47)</f>
        <v>1354476</v>
      </c>
      <c r="I33" s="14">
        <f>SUM(I34:I47)</f>
        <v>0</v>
      </c>
      <c r="J33" s="14">
        <f t="shared" si="1"/>
        <v>1354476</v>
      </c>
      <c r="K33" s="14">
        <f>SUM(K34:K47)</f>
        <v>1419885</v>
      </c>
      <c r="L33" s="14">
        <f>SUM(L34:L47)</f>
        <v>0</v>
      </c>
      <c r="M33" s="14">
        <f t="shared" si="2"/>
        <v>1419885</v>
      </c>
      <c r="N33" s="14">
        <f>SUM(N34:N47)</f>
        <v>0</v>
      </c>
      <c r="O33" s="14">
        <f t="shared" si="3"/>
        <v>1205234</v>
      </c>
    </row>
    <row r="34" spans="1:15" ht="15.75" hidden="1">
      <c r="A34" s="10" t="s">
        <v>198</v>
      </c>
      <c r="B34" s="35" t="s">
        <v>21</v>
      </c>
      <c r="C34" s="15"/>
      <c r="D34" s="15"/>
      <c r="E34" s="15">
        <f t="shared" si="0"/>
        <v>0</v>
      </c>
      <c r="F34" s="15"/>
      <c r="G34" s="15">
        <f t="shared" si="0"/>
        <v>0</v>
      </c>
      <c r="H34" s="15"/>
      <c r="I34" s="15"/>
      <c r="J34" s="15">
        <f t="shared" si="1"/>
        <v>0</v>
      </c>
      <c r="K34" s="15"/>
      <c r="L34" s="15"/>
      <c r="M34" s="15">
        <f t="shared" si="2"/>
        <v>0</v>
      </c>
      <c r="N34" s="15"/>
      <c r="O34" s="15">
        <f t="shared" si="3"/>
        <v>0</v>
      </c>
    </row>
    <row r="35" spans="1:15" ht="15.75" hidden="1">
      <c r="A35" s="10" t="s">
        <v>86</v>
      </c>
      <c r="B35" s="35" t="s">
        <v>22</v>
      </c>
      <c r="C35" s="15">
        <v>811129</v>
      </c>
      <c r="D35" s="15"/>
      <c r="E35" s="15">
        <f t="shared" si="0"/>
        <v>811129</v>
      </c>
      <c r="F35" s="15"/>
      <c r="G35" s="15">
        <f t="shared" si="0"/>
        <v>811129</v>
      </c>
      <c r="H35" s="15">
        <v>881200</v>
      </c>
      <c r="I35" s="15"/>
      <c r="J35" s="15">
        <f t="shared" si="1"/>
        <v>881200</v>
      </c>
      <c r="K35" s="15">
        <v>913684</v>
      </c>
      <c r="L35" s="15"/>
      <c r="M35" s="15">
        <f t="shared" si="2"/>
        <v>913684</v>
      </c>
      <c r="N35" s="15"/>
      <c r="O35" s="15">
        <f t="shared" si="3"/>
        <v>811129</v>
      </c>
    </row>
    <row r="36" spans="1:15" ht="15.75" hidden="1">
      <c r="A36" s="10" t="s">
        <v>199</v>
      </c>
      <c r="B36" s="35" t="s">
        <v>23</v>
      </c>
      <c r="C36" s="15"/>
      <c r="D36" s="15"/>
      <c r="E36" s="15">
        <f t="shared" si="0"/>
        <v>0</v>
      </c>
      <c r="F36" s="15"/>
      <c r="G36" s="15">
        <f t="shared" si="0"/>
        <v>0</v>
      </c>
      <c r="H36" s="15"/>
      <c r="I36" s="15"/>
      <c r="J36" s="15">
        <f t="shared" si="1"/>
        <v>0</v>
      </c>
      <c r="K36" s="15"/>
      <c r="L36" s="15"/>
      <c r="M36" s="15">
        <f t="shared" si="2"/>
        <v>0</v>
      </c>
      <c r="N36" s="15"/>
      <c r="O36" s="15">
        <f t="shared" si="3"/>
        <v>0</v>
      </c>
    </row>
    <row r="37" spans="1:15" ht="15.75" hidden="1">
      <c r="A37" s="10" t="s">
        <v>125</v>
      </c>
      <c r="B37" s="35" t="s">
        <v>24</v>
      </c>
      <c r="C37" s="15"/>
      <c r="D37" s="15"/>
      <c r="E37" s="15">
        <f t="shared" si="0"/>
        <v>0</v>
      </c>
      <c r="F37" s="15"/>
      <c r="G37" s="15">
        <f t="shared" si="0"/>
        <v>0</v>
      </c>
      <c r="H37" s="15"/>
      <c r="I37" s="15"/>
      <c r="J37" s="15">
        <f t="shared" si="1"/>
        <v>0</v>
      </c>
      <c r="K37" s="15"/>
      <c r="L37" s="15"/>
      <c r="M37" s="15">
        <f t="shared" si="2"/>
        <v>0</v>
      </c>
      <c r="N37" s="15"/>
      <c r="O37" s="15">
        <f t="shared" si="3"/>
        <v>0</v>
      </c>
    </row>
    <row r="38" spans="1:15" ht="15.75" hidden="1">
      <c r="A38" s="10" t="s">
        <v>200</v>
      </c>
      <c r="B38" s="35" t="s">
        <v>25</v>
      </c>
      <c r="C38" s="15"/>
      <c r="D38" s="15"/>
      <c r="E38" s="15">
        <f t="shared" si="0"/>
        <v>0</v>
      </c>
      <c r="F38" s="15"/>
      <c r="G38" s="15">
        <f t="shared" si="0"/>
        <v>0</v>
      </c>
      <c r="H38" s="15"/>
      <c r="I38" s="15"/>
      <c r="J38" s="15">
        <f t="shared" si="1"/>
        <v>0</v>
      </c>
      <c r="K38" s="15"/>
      <c r="L38" s="15"/>
      <c r="M38" s="15">
        <f t="shared" si="2"/>
        <v>0</v>
      </c>
      <c r="N38" s="15"/>
      <c r="O38" s="15">
        <f t="shared" si="3"/>
        <v>0</v>
      </c>
    </row>
    <row r="39" spans="1:15" ht="15.75" hidden="1">
      <c r="A39" s="10" t="s">
        <v>201</v>
      </c>
      <c r="B39" s="35" t="s">
        <v>26</v>
      </c>
      <c r="C39" s="15"/>
      <c r="D39" s="15"/>
      <c r="E39" s="15">
        <f t="shared" si="0"/>
        <v>0</v>
      </c>
      <c r="F39" s="15"/>
      <c r="G39" s="15">
        <f t="shared" si="0"/>
        <v>0</v>
      </c>
      <c r="H39" s="15"/>
      <c r="I39" s="15"/>
      <c r="J39" s="15">
        <f t="shared" si="1"/>
        <v>0</v>
      </c>
      <c r="K39" s="15"/>
      <c r="L39" s="15"/>
      <c r="M39" s="15">
        <f t="shared" si="2"/>
        <v>0</v>
      </c>
      <c r="N39" s="15"/>
      <c r="O39" s="15">
        <f t="shared" si="3"/>
        <v>0</v>
      </c>
    </row>
    <row r="40" spans="1:15" ht="15.75" hidden="1">
      <c r="A40" s="10" t="s">
        <v>202</v>
      </c>
      <c r="B40" s="35" t="s">
        <v>27</v>
      </c>
      <c r="C40" s="15"/>
      <c r="D40" s="15"/>
      <c r="E40" s="15">
        <f t="shared" si="0"/>
        <v>0</v>
      </c>
      <c r="F40" s="15"/>
      <c r="G40" s="15">
        <f t="shared" si="0"/>
        <v>0</v>
      </c>
      <c r="H40" s="15"/>
      <c r="I40" s="15"/>
      <c r="J40" s="15">
        <f t="shared" si="1"/>
        <v>0</v>
      </c>
      <c r="K40" s="15"/>
      <c r="L40" s="15"/>
      <c r="M40" s="15">
        <f t="shared" si="2"/>
        <v>0</v>
      </c>
      <c r="N40" s="15"/>
      <c r="O40" s="15">
        <f t="shared" si="3"/>
        <v>0</v>
      </c>
    </row>
    <row r="41" spans="1:15" ht="31.5" hidden="1">
      <c r="A41" s="10" t="s">
        <v>203</v>
      </c>
      <c r="B41" s="35" t="s">
        <v>28</v>
      </c>
      <c r="C41" s="15"/>
      <c r="D41" s="15"/>
      <c r="E41" s="15">
        <f t="shared" si="0"/>
        <v>0</v>
      </c>
      <c r="F41" s="15"/>
      <c r="G41" s="15">
        <f t="shared" si="0"/>
        <v>0</v>
      </c>
      <c r="H41" s="15"/>
      <c r="I41" s="15"/>
      <c r="J41" s="15">
        <f t="shared" si="1"/>
        <v>0</v>
      </c>
      <c r="K41" s="15"/>
      <c r="L41" s="15"/>
      <c r="M41" s="15">
        <f t="shared" si="2"/>
        <v>0</v>
      </c>
      <c r="N41" s="15"/>
      <c r="O41" s="15">
        <f t="shared" si="3"/>
        <v>0</v>
      </c>
    </row>
    <row r="42" spans="1:15" ht="31.5" customHeight="1" hidden="1">
      <c r="A42" s="10" t="s">
        <v>87</v>
      </c>
      <c r="B42" s="35" t="s">
        <v>219</v>
      </c>
      <c r="C42" s="15">
        <f>5000+81994+240</f>
        <v>87234</v>
      </c>
      <c r="D42" s="15">
        <f>-3955+19362</f>
        <v>15407</v>
      </c>
      <c r="E42" s="15">
        <f t="shared" si="0"/>
        <v>102641</v>
      </c>
      <c r="F42" s="15"/>
      <c r="G42" s="15">
        <f t="shared" si="0"/>
        <v>102641</v>
      </c>
      <c r="H42" s="15">
        <f>16000+88143+258</f>
        <v>104401</v>
      </c>
      <c r="I42" s="15"/>
      <c r="J42" s="15">
        <f t="shared" si="1"/>
        <v>104401</v>
      </c>
      <c r="K42" s="15">
        <f>16000+94490+277</f>
        <v>110767</v>
      </c>
      <c r="L42" s="15"/>
      <c r="M42" s="15">
        <f t="shared" si="2"/>
        <v>110767</v>
      </c>
      <c r="N42" s="15"/>
      <c r="O42" s="15">
        <f t="shared" si="3"/>
        <v>102641</v>
      </c>
    </row>
    <row r="43" spans="1:15" ht="15.75" hidden="1">
      <c r="A43" s="10" t="s">
        <v>88</v>
      </c>
      <c r="B43" s="35" t="s">
        <v>147</v>
      </c>
      <c r="C43" s="15">
        <v>343139</v>
      </c>
      <c r="D43" s="15">
        <v>-51675</v>
      </c>
      <c r="E43" s="15">
        <f t="shared" si="0"/>
        <v>291464</v>
      </c>
      <c r="F43" s="15"/>
      <c r="G43" s="15">
        <f t="shared" si="0"/>
        <v>291464</v>
      </c>
      <c r="H43" s="15">
        <v>368875</v>
      </c>
      <c r="I43" s="15"/>
      <c r="J43" s="15">
        <f t="shared" si="1"/>
        <v>368875</v>
      </c>
      <c r="K43" s="15">
        <v>395434</v>
      </c>
      <c r="L43" s="15"/>
      <c r="M43" s="15">
        <f t="shared" si="2"/>
        <v>395434</v>
      </c>
      <c r="N43" s="15"/>
      <c r="O43" s="15">
        <f t="shared" si="3"/>
        <v>291464</v>
      </c>
    </row>
    <row r="44" spans="1:15" ht="15.75" hidden="1">
      <c r="A44" s="10" t="s">
        <v>204</v>
      </c>
      <c r="B44" s="35" t="s">
        <v>29</v>
      </c>
      <c r="C44" s="15"/>
      <c r="D44" s="15"/>
      <c r="E44" s="15">
        <f t="shared" si="0"/>
        <v>0</v>
      </c>
      <c r="F44" s="15"/>
      <c r="G44" s="15">
        <f t="shared" si="0"/>
        <v>0</v>
      </c>
      <c r="H44" s="15"/>
      <c r="I44" s="15"/>
      <c r="J44" s="15">
        <f t="shared" si="1"/>
        <v>0</v>
      </c>
      <c r="K44" s="15"/>
      <c r="L44" s="15"/>
      <c r="M44" s="15">
        <f t="shared" si="2"/>
        <v>0</v>
      </c>
      <c r="N44" s="15"/>
      <c r="O44" s="15">
        <f t="shared" si="3"/>
        <v>0</v>
      </c>
    </row>
    <row r="45" spans="1:15" ht="31.5" hidden="1">
      <c r="A45" s="10" t="s">
        <v>205</v>
      </c>
      <c r="B45" s="35" t="s">
        <v>242</v>
      </c>
      <c r="C45" s="15"/>
      <c r="D45" s="15"/>
      <c r="E45" s="15">
        <f t="shared" si="0"/>
        <v>0</v>
      </c>
      <c r="F45" s="15"/>
      <c r="G45" s="15">
        <f t="shared" si="0"/>
        <v>0</v>
      </c>
      <c r="H45" s="15"/>
      <c r="I45" s="15"/>
      <c r="J45" s="15">
        <f t="shared" si="1"/>
        <v>0</v>
      </c>
      <c r="K45" s="15"/>
      <c r="L45" s="15"/>
      <c r="M45" s="15">
        <f t="shared" si="2"/>
        <v>0</v>
      </c>
      <c r="N45" s="15"/>
      <c r="O45" s="15">
        <f t="shared" si="3"/>
        <v>0</v>
      </c>
    </row>
    <row r="46" spans="1:15" ht="47.25" hidden="1">
      <c r="A46" s="10" t="s">
        <v>89</v>
      </c>
      <c r="B46" s="35" t="s">
        <v>30</v>
      </c>
      <c r="C46" s="15"/>
      <c r="D46" s="15"/>
      <c r="E46" s="15">
        <f t="shared" si="0"/>
        <v>0</v>
      </c>
      <c r="F46" s="15"/>
      <c r="G46" s="15">
        <f t="shared" si="0"/>
        <v>0</v>
      </c>
      <c r="H46" s="15"/>
      <c r="I46" s="15"/>
      <c r="J46" s="15">
        <f t="shared" si="1"/>
        <v>0</v>
      </c>
      <c r="K46" s="15"/>
      <c r="L46" s="15"/>
      <c r="M46" s="15">
        <f t="shared" si="2"/>
        <v>0</v>
      </c>
      <c r="N46" s="15"/>
      <c r="O46" s="15">
        <f t="shared" si="3"/>
        <v>0</v>
      </c>
    </row>
    <row r="47" spans="1:15" ht="31.5" hidden="1">
      <c r="A47" s="10" t="s">
        <v>206</v>
      </c>
      <c r="B47" s="35" t="s">
        <v>31</v>
      </c>
      <c r="C47" s="15"/>
      <c r="D47" s="15"/>
      <c r="E47" s="15">
        <f t="shared" si="0"/>
        <v>0</v>
      </c>
      <c r="F47" s="15"/>
      <c r="G47" s="15">
        <f t="shared" si="0"/>
        <v>0</v>
      </c>
      <c r="H47" s="15"/>
      <c r="I47" s="15"/>
      <c r="J47" s="15">
        <f t="shared" si="1"/>
        <v>0</v>
      </c>
      <c r="K47" s="15"/>
      <c r="L47" s="15"/>
      <c r="M47" s="15">
        <f t="shared" si="2"/>
        <v>0</v>
      </c>
      <c r="N47" s="15"/>
      <c r="O47" s="15">
        <f t="shared" si="3"/>
        <v>0</v>
      </c>
    </row>
    <row r="48" spans="1:15" s="6" customFormat="1" ht="15.75">
      <c r="A48" s="9" t="s">
        <v>90</v>
      </c>
      <c r="B48" s="37" t="s">
        <v>32</v>
      </c>
      <c r="C48" s="22">
        <f>SUM(C49:C60)</f>
        <v>7403071</v>
      </c>
      <c r="D48" s="22">
        <f>SUM(D49:D60)</f>
        <v>-238754</v>
      </c>
      <c r="E48" s="22">
        <f t="shared" si="0"/>
        <v>7164317</v>
      </c>
      <c r="F48" s="22">
        <f>SUM(F49:F60)</f>
        <v>55000</v>
      </c>
      <c r="G48" s="22">
        <f t="shared" si="0"/>
        <v>7219317</v>
      </c>
      <c r="H48" s="14">
        <f>SUM(H49:H60)</f>
        <v>6235253</v>
      </c>
      <c r="I48" s="14">
        <f>SUM(I49:I60)</f>
        <v>479</v>
      </c>
      <c r="J48" s="14">
        <f t="shared" si="1"/>
        <v>6235732</v>
      </c>
      <c r="K48" s="14">
        <f>SUM(K49:K60)</f>
        <v>4500215</v>
      </c>
      <c r="L48" s="14">
        <f>SUM(L49:L60)</f>
        <v>1050</v>
      </c>
      <c r="M48" s="14">
        <f t="shared" si="2"/>
        <v>4501265</v>
      </c>
      <c r="N48" s="22">
        <f>SUM(N49:N60)</f>
        <v>12000</v>
      </c>
      <c r="O48" s="22">
        <f t="shared" si="3"/>
        <v>7231317</v>
      </c>
    </row>
    <row r="49" spans="1:15" ht="15.75">
      <c r="A49" s="10" t="s">
        <v>91</v>
      </c>
      <c r="B49" s="35" t="s">
        <v>33</v>
      </c>
      <c r="C49" s="15">
        <v>214765</v>
      </c>
      <c r="D49" s="15">
        <v>-7411</v>
      </c>
      <c r="E49" s="15">
        <f t="shared" si="0"/>
        <v>207354</v>
      </c>
      <c r="F49" s="15"/>
      <c r="G49" s="15">
        <f t="shared" si="0"/>
        <v>207354</v>
      </c>
      <c r="H49" s="15">
        <v>230126</v>
      </c>
      <c r="I49" s="15"/>
      <c r="J49" s="15">
        <f t="shared" si="1"/>
        <v>230126</v>
      </c>
      <c r="K49" s="15">
        <v>246519</v>
      </c>
      <c r="L49" s="15"/>
      <c r="M49" s="15">
        <f t="shared" si="2"/>
        <v>246519</v>
      </c>
      <c r="N49" s="15">
        <v>22000</v>
      </c>
      <c r="O49" s="15">
        <f t="shared" si="3"/>
        <v>229354</v>
      </c>
    </row>
    <row r="50" spans="1:15" ht="15.75" hidden="1">
      <c r="A50" s="10" t="s">
        <v>92</v>
      </c>
      <c r="B50" s="35" t="s">
        <v>247</v>
      </c>
      <c r="C50" s="15">
        <f>3350+40008</f>
        <v>43358</v>
      </c>
      <c r="D50" s="15">
        <v>-6370</v>
      </c>
      <c r="E50" s="15">
        <f t="shared" si="0"/>
        <v>36988</v>
      </c>
      <c r="F50" s="15"/>
      <c r="G50" s="15">
        <f t="shared" si="0"/>
        <v>36988</v>
      </c>
      <c r="H50" s="15">
        <f>3600+43020</f>
        <v>46620</v>
      </c>
      <c r="I50" s="15"/>
      <c r="J50" s="15">
        <f t="shared" si="1"/>
        <v>46620</v>
      </c>
      <c r="K50" s="15">
        <f>3802+46117</f>
        <v>49919</v>
      </c>
      <c r="L50" s="15"/>
      <c r="M50" s="15">
        <f t="shared" si="2"/>
        <v>49919</v>
      </c>
      <c r="N50" s="15"/>
      <c r="O50" s="15">
        <f t="shared" si="3"/>
        <v>36988</v>
      </c>
    </row>
    <row r="51" spans="1:15" ht="31.5" hidden="1">
      <c r="A51" s="10">
        <v>403</v>
      </c>
      <c r="B51" s="35" t="s">
        <v>34</v>
      </c>
      <c r="C51" s="15"/>
      <c r="D51" s="15"/>
      <c r="E51" s="15">
        <f t="shared" si="0"/>
        <v>0</v>
      </c>
      <c r="F51" s="15"/>
      <c r="G51" s="15">
        <f t="shared" si="0"/>
        <v>0</v>
      </c>
      <c r="H51" s="15"/>
      <c r="I51" s="15"/>
      <c r="J51" s="15">
        <f t="shared" si="1"/>
        <v>0</v>
      </c>
      <c r="K51" s="15"/>
      <c r="L51" s="15"/>
      <c r="M51" s="15">
        <f t="shared" si="2"/>
        <v>0</v>
      </c>
      <c r="N51" s="15"/>
      <c r="O51" s="15">
        <f t="shared" si="3"/>
        <v>0</v>
      </c>
    </row>
    <row r="52" spans="1:15" ht="15.75" hidden="1">
      <c r="A52" s="10" t="s">
        <v>93</v>
      </c>
      <c r="B52" s="35" t="s">
        <v>35</v>
      </c>
      <c r="C52" s="15">
        <v>3700</v>
      </c>
      <c r="D52" s="15"/>
      <c r="E52" s="15">
        <f t="shared" si="0"/>
        <v>3700</v>
      </c>
      <c r="F52" s="15"/>
      <c r="G52" s="15">
        <f t="shared" si="0"/>
        <v>3700</v>
      </c>
      <c r="H52" s="15">
        <v>3900</v>
      </c>
      <c r="I52" s="15"/>
      <c r="J52" s="15">
        <f t="shared" si="1"/>
        <v>3900</v>
      </c>
      <c r="K52" s="15">
        <v>4200</v>
      </c>
      <c r="L52" s="15"/>
      <c r="M52" s="15">
        <f t="shared" si="2"/>
        <v>4200</v>
      </c>
      <c r="N52" s="15"/>
      <c r="O52" s="15">
        <f t="shared" si="3"/>
        <v>3700</v>
      </c>
    </row>
    <row r="53" spans="1:15" ht="15.75" hidden="1">
      <c r="A53" s="10" t="s">
        <v>94</v>
      </c>
      <c r="B53" s="38" t="s">
        <v>36</v>
      </c>
      <c r="C53" s="39">
        <f>577067+78561</f>
        <v>655628</v>
      </c>
      <c r="D53" s="39">
        <f>-2168-7950</f>
        <v>-10118</v>
      </c>
      <c r="E53" s="39">
        <f t="shared" si="0"/>
        <v>645510</v>
      </c>
      <c r="F53" s="39">
        <v>55000</v>
      </c>
      <c r="G53" s="39">
        <f t="shared" si="0"/>
        <v>700510</v>
      </c>
      <c r="H53" s="15">
        <f>683831+84993</f>
        <v>768824</v>
      </c>
      <c r="I53" s="15"/>
      <c r="J53" s="15">
        <f t="shared" si="1"/>
        <v>768824</v>
      </c>
      <c r="K53" s="15">
        <f>687840+91253</f>
        <v>779093</v>
      </c>
      <c r="L53" s="15"/>
      <c r="M53" s="15">
        <f t="shared" si="2"/>
        <v>779093</v>
      </c>
      <c r="N53" s="39"/>
      <c r="O53" s="39">
        <f t="shared" si="3"/>
        <v>700510</v>
      </c>
    </row>
    <row r="54" spans="1:15" ht="15.75" hidden="1">
      <c r="A54" s="10" t="s">
        <v>142</v>
      </c>
      <c r="B54" s="35" t="s">
        <v>37</v>
      </c>
      <c r="C54" s="15">
        <f>31243-17000</f>
        <v>14243</v>
      </c>
      <c r="D54" s="15"/>
      <c r="E54" s="15">
        <f t="shared" si="0"/>
        <v>14243</v>
      </c>
      <c r="F54" s="15"/>
      <c r="G54" s="15">
        <f t="shared" si="0"/>
        <v>14243</v>
      </c>
      <c r="H54" s="15">
        <f>34369-18000</f>
        <v>16369</v>
      </c>
      <c r="I54" s="15"/>
      <c r="J54" s="15">
        <f t="shared" si="1"/>
        <v>16369</v>
      </c>
      <c r="K54" s="15">
        <f>32369-16000</f>
        <v>16369</v>
      </c>
      <c r="L54" s="15"/>
      <c r="M54" s="15">
        <f t="shared" si="2"/>
        <v>16369</v>
      </c>
      <c r="N54" s="15"/>
      <c r="O54" s="15">
        <f t="shared" si="3"/>
        <v>14243</v>
      </c>
    </row>
    <row r="55" spans="1:15" ht="15.75" hidden="1">
      <c r="A55" s="10" t="s">
        <v>122</v>
      </c>
      <c r="B55" s="35" t="s">
        <v>38</v>
      </c>
      <c r="C55" s="15">
        <f>123787+25000</f>
        <v>148787</v>
      </c>
      <c r="D55" s="15"/>
      <c r="E55" s="15">
        <f t="shared" si="0"/>
        <v>148787</v>
      </c>
      <c r="F55" s="15"/>
      <c r="G55" s="15">
        <f t="shared" si="0"/>
        <v>148787</v>
      </c>
      <c r="H55" s="15">
        <f>128995+27000+1100</f>
        <v>157095</v>
      </c>
      <c r="I55" s="15"/>
      <c r="J55" s="15">
        <f t="shared" si="1"/>
        <v>157095</v>
      </c>
      <c r="K55" s="15">
        <f>129366+30000</f>
        <v>159366</v>
      </c>
      <c r="L55" s="15"/>
      <c r="M55" s="15">
        <f t="shared" si="2"/>
        <v>159366</v>
      </c>
      <c r="N55" s="15"/>
      <c r="O55" s="15">
        <f t="shared" si="3"/>
        <v>148787</v>
      </c>
    </row>
    <row r="56" spans="1:15" ht="15.75" hidden="1">
      <c r="A56" s="10" t="s">
        <v>95</v>
      </c>
      <c r="B56" s="35" t="s">
        <v>39</v>
      </c>
      <c r="C56" s="15">
        <f>200437+50000</f>
        <v>250437</v>
      </c>
      <c r="D56" s="15"/>
      <c r="E56" s="15">
        <f t="shared" si="0"/>
        <v>250437</v>
      </c>
      <c r="F56" s="15"/>
      <c r="G56" s="15">
        <f t="shared" si="0"/>
        <v>250437</v>
      </c>
      <c r="H56" s="15">
        <v>240874</v>
      </c>
      <c r="I56" s="15"/>
      <c r="J56" s="15">
        <f t="shared" si="1"/>
        <v>240874</v>
      </c>
      <c r="K56" s="15">
        <v>242507</v>
      </c>
      <c r="L56" s="15"/>
      <c r="M56" s="15">
        <f t="shared" si="2"/>
        <v>242507</v>
      </c>
      <c r="N56" s="15"/>
      <c r="O56" s="15">
        <f t="shared" si="3"/>
        <v>250437</v>
      </c>
    </row>
    <row r="57" spans="1:15" ht="15.75">
      <c r="A57" s="10" t="s">
        <v>96</v>
      </c>
      <c r="B57" s="35" t="s">
        <v>216</v>
      </c>
      <c r="C57" s="15">
        <f>5372091+61088+338520+92000</f>
        <v>5863699</v>
      </c>
      <c r="D57" s="15">
        <f>-133741-800-53000-4800-320</f>
        <v>-192661</v>
      </c>
      <c r="E57" s="15">
        <f t="shared" si="0"/>
        <v>5671038</v>
      </c>
      <c r="F57" s="15"/>
      <c r="G57" s="15">
        <f t="shared" si="0"/>
        <v>5671038</v>
      </c>
      <c r="H57" s="15">
        <f>2190725+66534+1116000+404000+647600+92400</f>
        <v>4517259</v>
      </c>
      <c r="I57" s="15">
        <v>-900</v>
      </c>
      <c r="J57" s="15">
        <f t="shared" si="1"/>
        <v>4516359</v>
      </c>
      <c r="K57" s="15">
        <f>2591601+71324</f>
        <v>2662925</v>
      </c>
      <c r="L57" s="15"/>
      <c r="M57" s="15">
        <f t="shared" si="2"/>
        <v>2662925</v>
      </c>
      <c r="N57" s="15">
        <v>-10000</v>
      </c>
      <c r="O57" s="15">
        <f t="shared" si="3"/>
        <v>5661038</v>
      </c>
    </row>
    <row r="58" spans="1:15" ht="15.75" hidden="1">
      <c r="A58" s="10" t="s">
        <v>121</v>
      </c>
      <c r="B58" s="35" t="s">
        <v>40</v>
      </c>
      <c r="C58" s="15"/>
      <c r="D58" s="15"/>
      <c r="E58" s="15">
        <f t="shared" si="0"/>
        <v>0</v>
      </c>
      <c r="F58" s="15"/>
      <c r="G58" s="15">
        <f t="shared" si="0"/>
        <v>0</v>
      </c>
      <c r="H58" s="15"/>
      <c r="I58" s="15"/>
      <c r="J58" s="15">
        <f t="shared" si="1"/>
        <v>0</v>
      </c>
      <c r="K58" s="15"/>
      <c r="L58" s="15"/>
      <c r="M58" s="15">
        <f t="shared" si="2"/>
        <v>0</v>
      </c>
      <c r="N58" s="15"/>
      <c r="O58" s="15">
        <f t="shared" si="3"/>
        <v>0</v>
      </c>
    </row>
    <row r="59" spans="1:15" ht="31.5" hidden="1">
      <c r="A59" s="10" t="s">
        <v>97</v>
      </c>
      <c r="B59" s="35" t="s">
        <v>41</v>
      </c>
      <c r="C59" s="15"/>
      <c r="D59" s="15"/>
      <c r="E59" s="15">
        <f t="shared" si="0"/>
        <v>0</v>
      </c>
      <c r="F59" s="15"/>
      <c r="G59" s="15">
        <f t="shared" si="0"/>
        <v>0</v>
      </c>
      <c r="H59" s="15"/>
      <c r="I59" s="15"/>
      <c r="J59" s="15">
        <f t="shared" si="1"/>
        <v>0</v>
      </c>
      <c r="K59" s="15"/>
      <c r="L59" s="15"/>
      <c r="M59" s="15">
        <f t="shared" si="2"/>
        <v>0</v>
      </c>
      <c r="N59" s="15"/>
      <c r="O59" s="15">
        <f t="shared" si="3"/>
        <v>0</v>
      </c>
    </row>
    <row r="60" spans="1:15" ht="15.75" hidden="1">
      <c r="A60" s="10" t="s">
        <v>148</v>
      </c>
      <c r="B60" s="35" t="s">
        <v>42</v>
      </c>
      <c r="C60" s="15">
        <f>3000+8222+98500+910+90822+7000</f>
        <v>208454</v>
      </c>
      <c r="D60" s="15">
        <v>-22194</v>
      </c>
      <c r="E60" s="15">
        <f t="shared" si="0"/>
        <v>186260</v>
      </c>
      <c r="F60" s="15"/>
      <c r="G60" s="15">
        <f t="shared" si="0"/>
        <v>186260</v>
      </c>
      <c r="H60" s="15">
        <f>3200+4156+97219+142086+7525</f>
        <v>254186</v>
      </c>
      <c r="I60" s="15">
        <v>1379</v>
      </c>
      <c r="J60" s="15">
        <f t="shared" si="1"/>
        <v>255565</v>
      </c>
      <c r="K60" s="15">
        <f>3500+3000+221923+102827+8067</f>
        <v>339317</v>
      </c>
      <c r="L60" s="15">
        <v>1050</v>
      </c>
      <c r="M60" s="15">
        <f t="shared" si="2"/>
        <v>340367</v>
      </c>
      <c r="N60" s="15">
        <f>-10000+10000</f>
        <v>0</v>
      </c>
      <c r="O60" s="15">
        <f t="shared" si="3"/>
        <v>186260</v>
      </c>
    </row>
    <row r="61" spans="1:15" s="6" customFormat="1" ht="15.75">
      <c r="A61" s="9" t="s">
        <v>98</v>
      </c>
      <c r="B61" s="36" t="s">
        <v>43</v>
      </c>
      <c r="C61" s="14">
        <f>SUM(C62:C66)</f>
        <v>93271</v>
      </c>
      <c r="D61" s="14">
        <f>SUM(D62:D66)</f>
        <v>-3956</v>
      </c>
      <c r="E61" s="14">
        <f t="shared" si="0"/>
        <v>89315</v>
      </c>
      <c r="F61" s="14">
        <f>SUM(F62:F66)</f>
        <v>0</v>
      </c>
      <c r="G61" s="14">
        <f t="shared" si="0"/>
        <v>89315</v>
      </c>
      <c r="H61" s="14">
        <f>SUM(H62:H66)</f>
        <v>377954</v>
      </c>
      <c r="I61" s="14">
        <f>SUM(I62:I66)</f>
        <v>0</v>
      </c>
      <c r="J61" s="14">
        <f t="shared" si="1"/>
        <v>377954</v>
      </c>
      <c r="K61" s="14">
        <f>SUM(K62:K66)</f>
        <v>497917</v>
      </c>
      <c r="L61" s="14">
        <f>SUM(L62:L66)</f>
        <v>0</v>
      </c>
      <c r="M61" s="14">
        <f t="shared" si="2"/>
        <v>497917</v>
      </c>
      <c r="N61" s="14">
        <f>SUM(N62:N66)</f>
        <v>559030</v>
      </c>
      <c r="O61" s="14">
        <f t="shared" si="3"/>
        <v>648345</v>
      </c>
    </row>
    <row r="62" spans="1:15" ht="15.75">
      <c r="A62" s="10" t="s">
        <v>149</v>
      </c>
      <c r="B62" s="35" t="s">
        <v>44</v>
      </c>
      <c r="C62" s="15"/>
      <c r="D62" s="15"/>
      <c r="E62" s="15">
        <f t="shared" si="0"/>
        <v>0</v>
      </c>
      <c r="F62" s="15"/>
      <c r="G62" s="15">
        <f t="shared" si="0"/>
        <v>0</v>
      </c>
      <c r="H62" s="15"/>
      <c r="I62" s="15"/>
      <c r="J62" s="15">
        <f t="shared" si="1"/>
        <v>0</v>
      </c>
      <c r="K62" s="15"/>
      <c r="L62" s="15"/>
      <c r="M62" s="15">
        <f t="shared" si="2"/>
        <v>0</v>
      </c>
      <c r="N62" s="15">
        <f>384575+93488+80967</f>
        <v>559030</v>
      </c>
      <c r="O62" s="15">
        <f t="shared" si="3"/>
        <v>559030</v>
      </c>
    </row>
    <row r="63" spans="1:15" ht="15.75" hidden="1">
      <c r="A63" s="10" t="s">
        <v>124</v>
      </c>
      <c r="B63" s="35" t="s">
        <v>45</v>
      </c>
      <c r="C63" s="15">
        <v>35000</v>
      </c>
      <c r="D63" s="15"/>
      <c r="E63" s="15">
        <f t="shared" si="0"/>
        <v>35000</v>
      </c>
      <c r="F63" s="15"/>
      <c r="G63" s="15">
        <f t="shared" si="0"/>
        <v>35000</v>
      </c>
      <c r="H63" s="15">
        <v>315259</v>
      </c>
      <c r="I63" s="15"/>
      <c r="J63" s="15">
        <f t="shared" si="1"/>
        <v>315259</v>
      </c>
      <c r="K63" s="15">
        <v>430651</v>
      </c>
      <c r="L63" s="15"/>
      <c r="M63" s="15">
        <f t="shared" si="2"/>
        <v>430651</v>
      </c>
      <c r="N63" s="15"/>
      <c r="O63" s="15">
        <f t="shared" si="3"/>
        <v>35000</v>
      </c>
    </row>
    <row r="64" spans="1:15" ht="15.75" hidden="1">
      <c r="A64" s="10" t="s">
        <v>123</v>
      </c>
      <c r="B64" s="35" t="s">
        <v>150</v>
      </c>
      <c r="C64" s="15"/>
      <c r="D64" s="15"/>
      <c r="E64" s="15">
        <f t="shared" si="0"/>
        <v>0</v>
      </c>
      <c r="F64" s="15"/>
      <c r="G64" s="15">
        <f t="shared" si="0"/>
        <v>0</v>
      </c>
      <c r="H64" s="15"/>
      <c r="I64" s="15"/>
      <c r="J64" s="15">
        <f t="shared" si="1"/>
        <v>0</v>
      </c>
      <c r="K64" s="15"/>
      <c r="L64" s="15"/>
      <c r="M64" s="15">
        <f t="shared" si="2"/>
        <v>0</v>
      </c>
      <c r="N64" s="15"/>
      <c r="O64" s="15">
        <f t="shared" si="3"/>
        <v>0</v>
      </c>
    </row>
    <row r="65" spans="1:15" ht="31.5" hidden="1">
      <c r="A65" s="10" t="s">
        <v>99</v>
      </c>
      <c r="B65" s="35" t="s">
        <v>46</v>
      </c>
      <c r="C65" s="15"/>
      <c r="D65" s="15"/>
      <c r="E65" s="15">
        <f t="shared" si="0"/>
        <v>0</v>
      </c>
      <c r="F65" s="15"/>
      <c r="G65" s="15">
        <f t="shared" si="0"/>
        <v>0</v>
      </c>
      <c r="H65" s="15"/>
      <c r="I65" s="15"/>
      <c r="J65" s="15">
        <f t="shared" si="1"/>
        <v>0</v>
      </c>
      <c r="K65" s="15"/>
      <c r="L65" s="15"/>
      <c r="M65" s="15">
        <f t="shared" si="2"/>
        <v>0</v>
      </c>
      <c r="N65" s="15"/>
      <c r="O65" s="15">
        <f t="shared" si="3"/>
        <v>0</v>
      </c>
    </row>
    <row r="66" spans="1:15" ht="30.75" customHeight="1" hidden="1">
      <c r="A66" s="10" t="s">
        <v>151</v>
      </c>
      <c r="B66" s="35" t="s">
        <v>47</v>
      </c>
      <c r="C66" s="15">
        <f>16225+42046</f>
        <v>58271</v>
      </c>
      <c r="D66" s="15">
        <v>-3956</v>
      </c>
      <c r="E66" s="15">
        <f t="shared" si="0"/>
        <v>54315</v>
      </c>
      <c r="F66" s="15"/>
      <c r="G66" s="15">
        <f t="shared" si="0"/>
        <v>54315</v>
      </c>
      <c r="H66" s="15">
        <f>17443+45252</f>
        <v>62695</v>
      </c>
      <c r="I66" s="15"/>
      <c r="J66" s="15">
        <f t="shared" si="1"/>
        <v>62695</v>
      </c>
      <c r="K66" s="15">
        <f>18755+48511</f>
        <v>67266</v>
      </c>
      <c r="L66" s="15"/>
      <c r="M66" s="15">
        <f t="shared" si="2"/>
        <v>67266</v>
      </c>
      <c r="N66" s="15"/>
      <c r="O66" s="15">
        <f t="shared" si="3"/>
        <v>54315</v>
      </c>
    </row>
    <row r="67" spans="1:15" s="6" customFormat="1" ht="15.75" hidden="1">
      <c r="A67" s="9" t="s">
        <v>100</v>
      </c>
      <c r="B67" s="36" t="s">
        <v>48</v>
      </c>
      <c r="C67" s="14">
        <f>SUM(C68:C72)</f>
        <v>50365</v>
      </c>
      <c r="D67" s="14">
        <f>SUM(D68:D72)</f>
        <v>-5025</v>
      </c>
      <c r="E67" s="14">
        <f t="shared" si="0"/>
        <v>45340</v>
      </c>
      <c r="F67" s="14">
        <f>SUM(F68:F72)</f>
        <v>0</v>
      </c>
      <c r="G67" s="14">
        <f t="shared" si="0"/>
        <v>45340</v>
      </c>
      <c r="H67" s="14">
        <f>SUM(H68:H72)</f>
        <v>55214</v>
      </c>
      <c r="I67" s="14">
        <f>SUM(I68:I72)</f>
        <v>0</v>
      </c>
      <c r="J67" s="14">
        <f t="shared" si="1"/>
        <v>55214</v>
      </c>
      <c r="K67" s="14">
        <f>SUM(K68:K72)</f>
        <v>59262</v>
      </c>
      <c r="L67" s="14">
        <f>SUM(L68:L72)</f>
        <v>0</v>
      </c>
      <c r="M67" s="14">
        <f t="shared" si="2"/>
        <v>59262</v>
      </c>
      <c r="N67" s="14">
        <f>SUM(N68:N72)</f>
        <v>0</v>
      </c>
      <c r="O67" s="14">
        <f t="shared" si="3"/>
        <v>45340</v>
      </c>
    </row>
    <row r="68" spans="1:15" ht="15.75" hidden="1">
      <c r="A68" s="10" t="s">
        <v>101</v>
      </c>
      <c r="B68" s="35" t="s">
        <v>152</v>
      </c>
      <c r="C68" s="15"/>
      <c r="D68" s="15"/>
      <c r="E68" s="15">
        <f t="shared" si="0"/>
        <v>0</v>
      </c>
      <c r="F68" s="15"/>
      <c r="G68" s="15">
        <f t="shared" si="0"/>
        <v>0</v>
      </c>
      <c r="H68" s="15"/>
      <c r="I68" s="15"/>
      <c r="J68" s="15">
        <f t="shared" si="1"/>
        <v>0</v>
      </c>
      <c r="K68" s="15"/>
      <c r="L68" s="15"/>
      <c r="M68" s="15">
        <f t="shared" si="2"/>
        <v>0</v>
      </c>
      <c r="N68" s="15"/>
      <c r="O68" s="15">
        <f t="shared" si="3"/>
        <v>0</v>
      </c>
    </row>
    <row r="69" spans="1:15" ht="15.75" customHeight="1" hidden="1">
      <c r="A69" s="10" t="s">
        <v>102</v>
      </c>
      <c r="B69" s="35" t="s">
        <v>153</v>
      </c>
      <c r="C69" s="15"/>
      <c r="D69" s="15"/>
      <c r="E69" s="15">
        <f t="shared" si="0"/>
        <v>0</v>
      </c>
      <c r="F69" s="15"/>
      <c r="G69" s="15">
        <f t="shared" si="0"/>
        <v>0</v>
      </c>
      <c r="H69" s="15"/>
      <c r="I69" s="15"/>
      <c r="J69" s="15">
        <f t="shared" si="1"/>
        <v>0</v>
      </c>
      <c r="K69" s="15"/>
      <c r="L69" s="15"/>
      <c r="M69" s="15">
        <f t="shared" si="2"/>
        <v>0</v>
      </c>
      <c r="N69" s="15"/>
      <c r="O69" s="15">
        <f t="shared" si="3"/>
        <v>0</v>
      </c>
    </row>
    <row r="70" spans="1:15" ht="36" customHeight="1" hidden="1">
      <c r="A70" s="10" t="s">
        <v>154</v>
      </c>
      <c r="B70" s="35" t="s">
        <v>156</v>
      </c>
      <c r="C70" s="15"/>
      <c r="D70" s="15"/>
      <c r="E70" s="15">
        <f t="shared" si="0"/>
        <v>0</v>
      </c>
      <c r="F70" s="15"/>
      <c r="G70" s="15">
        <f t="shared" si="0"/>
        <v>0</v>
      </c>
      <c r="H70" s="15"/>
      <c r="I70" s="15"/>
      <c r="J70" s="15">
        <f t="shared" si="1"/>
        <v>0</v>
      </c>
      <c r="K70" s="15"/>
      <c r="L70" s="15"/>
      <c r="M70" s="15">
        <f t="shared" si="2"/>
        <v>0</v>
      </c>
      <c r="N70" s="15"/>
      <c r="O70" s="15">
        <f t="shared" si="3"/>
        <v>0</v>
      </c>
    </row>
    <row r="71" spans="1:15" ht="31.5" hidden="1">
      <c r="A71" s="10" t="s">
        <v>103</v>
      </c>
      <c r="B71" s="35" t="s">
        <v>49</v>
      </c>
      <c r="C71" s="15"/>
      <c r="D71" s="15"/>
      <c r="E71" s="15">
        <f t="shared" si="0"/>
        <v>0</v>
      </c>
      <c r="F71" s="15"/>
      <c r="G71" s="15">
        <f t="shared" si="0"/>
        <v>0</v>
      </c>
      <c r="H71" s="15"/>
      <c r="I71" s="15"/>
      <c r="J71" s="15">
        <f t="shared" si="1"/>
        <v>0</v>
      </c>
      <c r="K71" s="15"/>
      <c r="L71" s="15"/>
      <c r="M71" s="15">
        <f t="shared" si="2"/>
        <v>0</v>
      </c>
      <c r="N71" s="15"/>
      <c r="O71" s="15">
        <f t="shared" si="3"/>
        <v>0</v>
      </c>
    </row>
    <row r="72" spans="1:15" ht="16.5" customHeight="1" hidden="1">
      <c r="A72" s="10" t="s">
        <v>155</v>
      </c>
      <c r="B72" s="35" t="s">
        <v>50</v>
      </c>
      <c r="C72" s="15">
        <f>9037+41328</f>
        <v>50365</v>
      </c>
      <c r="D72" s="15">
        <v>-5025</v>
      </c>
      <c r="E72" s="15">
        <f t="shared" si="0"/>
        <v>45340</v>
      </c>
      <c r="F72" s="15"/>
      <c r="G72" s="15">
        <f t="shared" si="0"/>
        <v>45340</v>
      </c>
      <c r="H72" s="15">
        <f>10773+44441</f>
        <v>55214</v>
      </c>
      <c r="I72" s="15"/>
      <c r="J72" s="15">
        <f t="shared" si="1"/>
        <v>55214</v>
      </c>
      <c r="K72" s="15">
        <f>11623+47639</f>
        <v>59262</v>
      </c>
      <c r="L72" s="15"/>
      <c r="M72" s="15">
        <f t="shared" si="2"/>
        <v>59262</v>
      </c>
      <c r="N72" s="15"/>
      <c r="O72" s="15">
        <f t="shared" si="3"/>
        <v>45340</v>
      </c>
    </row>
    <row r="73" spans="1:15" s="6" customFormat="1" ht="15.75" hidden="1">
      <c r="A73" s="9" t="s">
        <v>104</v>
      </c>
      <c r="B73" s="36" t="s">
        <v>51</v>
      </c>
      <c r="C73" s="14">
        <f>SUM(C74:C82)</f>
        <v>2071377</v>
      </c>
      <c r="D73" s="14">
        <f>SUM(D74:D82)</f>
        <v>-83424</v>
      </c>
      <c r="E73" s="14">
        <f t="shared" si="0"/>
        <v>1987953</v>
      </c>
      <c r="F73" s="14">
        <f>SUM(F74:F82)</f>
        <v>0</v>
      </c>
      <c r="G73" s="14">
        <f t="shared" si="0"/>
        <v>1987953</v>
      </c>
      <c r="H73" s="14">
        <f>SUM(H74:H82)</f>
        <v>2216465</v>
      </c>
      <c r="I73" s="14">
        <f>SUM(I74:I82)</f>
        <v>0</v>
      </c>
      <c r="J73" s="14">
        <f t="shared" si="1"/>
        <v>2216465</v>
      </c>
      <c r="K73" s="14">
        <f>SUM(K74:K82)</f>
        <v>2371237</v>
      </c>
      <c r="L73" s="14">
        <f>SUM(L74:L82)</f>
        <v>250</v>
      </c>
      <c r="M73" s="14">
        <f t="shared" si="2"/>
        <v>2371487</v>
      </c>
      <c r="N73" s="14">
        <f>SUM(N74:N82)</f>
        <v>0</v>
      </c>
      <c r="O73" s="14">
        <f t="shared" si="3"/>
        <v>1987953</v>
      </c>
    </row>
    <row r="74" spans="1:15" ht="15.75" hidden="1">
      <c r="A74" s="10" t="s">
        <v>157</v>
      </c>
      <c r="B74" s="35" t="s">
        <v>52</v>
      </c>
      <c r="C74" s="15"/>
      <c r="D74" s="15"/>
      <c r="E74" s="15">
        <f aca="true" t="shared" si="4" ref="E74:G117">C74+D74</f>
        <v>0</v>
      </c>
      <c r="F74" s="15"/>
      <c r="G74" s="15">
        <f t="shared" si="4"/>
        <v>0</v>
      </c>
      <c r="H74" s="15"/>
      <c r="I74" s="15"/>
      <c r="J74" s="15">
        <f aca="true" t="shared" si="5" ref="J74:J117">H74+I74</f>
        <v>0</v>
      </c>
      <c r="K74" s="15"/>
      <c r="L74" s="15"/>
      <c r="M74" s="15">
        <f aca="true" t="shared" si="6" ref="M74:M117">K74+L74</f>
        <v>0</v>
      </c>
      <c r="N74" s="15"/>
      <c r="O74" s="15">
        <f aca="true" t="shared" si="7" ref="O74:O117">G74+N74</f>
        <v>0</v>
      </c>
    </row>
    <row r="75" spans="1:15" ht="15.75" hidden="1">
      <c r="A75" s="10" t="s">
        <v>105</v>
      </c>
      <c r="B75" s="35" t="s">
        <v>53</v>
      </c>
      <c r="C75" s="15">
        <f>539115+5000</f>
        <v>544115</v>
      </c>
      <c r="D75" s="15">
        <v>-8000</v>
      </c>
      <c r="E75" s="15">
        <f t="shared" si="4"/>
        <v>536115</v>
      </c>
      <c r="F75" s="15"/>
      <c r="G75" s="15">
        <f t="shared" si="4"/>
        <v>536115</v>
      </c>
      <c r="H75" s="15">
        <v>578110</v>
      </c>
      <c r="I75" s="15"/>
      <c r="J75" s="15">
        <f t="shared" si="5"/>
        <v>578110</v>
      </c>
      <c r="K75" s="15">
        <v>618354</v>
      </c>
      <c r="L75" s="15"/>
      <c r="M75" s="15">
        <f t="shared" si="6"/>
        <v>618354</v>
      </c>
      <c r="N75" s="15"/>
      <c r="O75" s="15">
        <f t="shared" si="7"/>
        <v>536115</v>
      </c>
    </row>
    <row r="76" spans="1:15" ht="15.75" hidden="1">
      <c r="A76" s="10" t="s">
        <v>106</v>
      </c>
      <c r="B76" s="35" t="s">
        <v>54</v>
      </c>
      <c r="C76" s="15">
        <v>728177</v>
      </c>
      <c r="D76" s="15">
        <v>-27355</v>
      </c>
      <c r="E76" s="15">
        <f t="shared" si="4"/>
        <v>700822</v>
      </c>
      <c r="F76" s="15"/>
      <c r="G76" s="15">
        <f t="shared" si="4"/>
        <v>700822</v>
      </c>
      <c r="H76" s="15">
        <v>782790</v>
      </c>
      <c r="I76" s="15"/>
      <c r="J76" s="15">
        <f t="shared" si="5"/>
        <v>782790</v>
      </c>
      <c r="K76" s="15">
        <v>839151</v>
      </c>
      <c r="L76" s="15"/>
      <c r="M76" s="15">
        <f t="shared" si="6"/>
        <v>839151</v>
      </c>
      <c r="N76" s="15"/>
      <c r="O76" s="15">
        <f t="shared" si="7"/>
        <v>700822</v>
      </c>
    </row>
    <row r="77" spans="1:15" ht="15.75" hidden="1">
      <c r="A77" s="10" t="s">
        <v>107</v>
      </c>
      <c r="B77" s="35" t="s">
        <v>55</v>
      </c>
      <c r="C77" s="15">
        <f>390574+669+1361</f>
        <v>392604</v>
      </c>
      <c r="D77" s="15">
        <v>-34171</v>
      </c>
      <c r="E77" s="15">
        <f t="shared" si="4"/>
        <v>358433</v>
      </c>
      <c r="F77" s="15"/>
      <c r="G77" s="15">
        <f t="shared" si="4"/>
        <v>358433</v>
      </c>
      <c r="H77" s="15">
        <v>419585</v>
      </c>
      <c r="I77" s="15"/>
      <c r="J77" s="15">
        <f t="shared" si="5"/>
        <v>419585</v>
      </c>
      <c r="K77" s="15">
        <v>449528</v>
      </c>
      <c r="L77" s="15"/>
      <c r="M77" s="15">
        <f t="shared" si="6"/>
        <v>449528</v>
      </c>
      <c r="N77" s="15"/>
      <c r="O77" s="15">
        <f t="shared" si="7"/>
        <v>358433</v>
      </c>
    </row>
    <row r="78" spans="1:15" ht="33" customHeight="1" hidden="1">
      <c r="A78" s="10" t="s">
        <v>108</v>
      </c>
      <c r="B78" s="35" t="s">
        <v>158</v>
      </c>
      <c r="C78" s="15">
        <f>6975+49900+910</f>
        <v>57785</v>
      </c>
      <c r="D78" s="15">
        <f>-925-900</f>
        <v>-1825</v>
      </c>
      <c r="E78" s="15">
        <f t="shared" si="4"/>
        <v>55960</v>
      </c>
      <c r="F78" s="15"/>
      <c r="G78" s="15">
        <f t="shared" si="4"/>
        <v>55960</v>
      </c>
      <c r="H78" s="15">
        <f>7499+53643+978</f>
        <v>62120</v>
      </c>
      <c r="I78" s="15"/>
      <c r="J78" s="15">
        <f t="shared" si="5"/>
        <v>62120</v>
      </c>
      <c r="K78" s="15">
        <f>8039+57505+1049</f>
        <v>66593</v>
      </c>
      <c r="L78" s="15"/>
      <c r="M78" s="15">
        <f t="shared" si="6"/>
        <v>66593</v>
      </c>
      <c r="N78" s="15"/>
      <c r="O78" s="15">
        <f t="shared" si="7"/>
        <v>55960</v>
      </c>
    </row>
    <row r="79" spans="1:15" ht="31.5" hidden="1">
      <c r="A79" s="10" t="s">
        <v>133</v>
      </c>
      <c r="B79" s="35" t="s">
        <v>159</v>
      </c>
      <c r="C79" s="15"/>
      <c r="D79" s="15"/>
      <c r="E79" s="15">
        <f t="shared" si="4"/>
        <v>0</v>
      </c>
      <c r="F79" s="15"/>
      <c r="G79" s="15">
        <f t="shared" si="4"/>
        <v>0</v>
      </c>
      <c r="H79" s="15"/>
      <c r="I79" s="15"/>
      <c r="J79" s="15">
        <f t="shared" si="5"/>
        <v>0</v>
      </c>
      <c r="K79" s="15"/>
      <c r="L79" s="15"/>
      <c r="M79" s="15">
        <f t="shared" si="6"/>
        <v>0</v>
      </c>
      <c r="N79" s="15"/>
      <c r="O79" s="15">
        <f t="shared" si="7"/>
        <v>0</v>
      </c>
    </row>
    <row r="80" spans="1:15" ht="15.75" hidden="1">
      <c r="A80" s="10" t="s">
        <v>109</v>
      </c>
      <c r="B80" s="35" t="s">
        <v>56</v>
      </c>
      <c r="C80" s="15">
        <f>48251+11970</f>
        <v>60221</v>
      </c>
      <c r="D80" s="15">
        <f>-129-1014</f>
        <v>-1143</v>
      </c>
      <c r="E80" s="15">
        <f t="shared" si="4"/>
        <v>59078</v>
      </c>
      <c r="F80" s="15"/>
      <c r="G80" s="15">
        <f t="shared" si="4"/>
        <v>59078</v>
      </c>
      <c r="H80" s="15">
        <f>51563+12871</f>
        <v>64434</v>
      </c>
      <c r="I80" s="15"/>
      <c r="J80" s="15">
        <f t="shared" si="5"/>
        <v>64434</v>
      </c>
      <c r="K80" s="15">
        <f>55045+13797</f>
        <v>68842</v>
      </c>
      <c r="L80" s="15"/>
      <c r="M80" s="15">
        <f t="shared" si="6"/>
        <v>68842</v>
      </c>
      <c r="N80" s="15"/>
      <c r="O80" s="15">
        <f t="shared" si="7"/>
        <v>59078</v>
      </c>
    </row>
    <row r="81" spans="1:15" ht="31.5" hidden="1">
      <c r="A81" s="10" t="s">
        <v>110</v>
      </c>
      <c r="B81" s="35" t="s">
        <v>57</v>
      </c>
      <c r="C81" s="15"/>
      <c r="D81" s="15"/>
      <c r="E81" s="15">
        <f t="shared" si="4"/>
        <v>0</v>
      </c>
      <c r="F81" s="15"/>
      <c r="G81" s="15">
        <f t="shared" si="4"/>
        <v>0</v>
      </c>
      <c r="H81" s="15"/>
      <c r="I81" s="15"/>
      <c r="J81" s="15">
        <f t="shared" si="5"/>
        <v>0</v>
      </c>
      <c r="K81" s="15"/>
      <c r="L81" s="15"/>
      <c r="M81" s="15">
        <f t="shared" si="6"/>
        <v>0</v>
      </c>
      <c r="N81" s="15"/>
      <c r="O81" s="15">
        <f t="shared" si="7"/>
        <v>0</v>
      </c>
    </row>
    <row r="82" spans="1:15" ht="15.75" hidden="1">
      <c r="A82" s="10" t="s">
        <v>111</v>
      </c>
      <c r="B82" s="35" t="s">
        <v>58</v>
      </c>
      <c r="C82" s="15">
        <f>248835+39105+35+500</f>
        <v>288475</v>
      </c>
      <c r="D82" s="15">
        <f>-6254-800-3876</f>
        <v>-10930</v>
      </c>
      <c r="E82" s="15">
        <f t="shared" si="4"/>
        <v>277545</v>
      </c>
      <c r="F82" s="15"/>
      <c r="G82" s="15">
        <f t="shared" si="4"/>
        <v>277545</v>
      </c>
      <c r="H82" s="15">
        <f>267360+42066</f>
        <v>309426</v>
      </c>
      <c r="I82" s="15"/>
      <c r="J82" s="15">
        <f t="shared" si="5"/>
        <v>309426</v>
      </c>
      <c r="K82" s="15">
        <f>283674+45095</f>
        <v>328769</v>
      </c>
      <c r="L82" s="15">
        <v>250</v>
      </c>
      <c r="M82" s="15">
        <f t="shared" si="6"/>
        <v>329019</v>
      </c>
      <c r="N82" s="15"/>
      <c r="O82" s="15">
        <f t="shared" si="7"/>
        <v>277545</v>
      </c>
    </row>
    <row r="83" spans="1:15" s="6" customFormat="1" ht="34.5" customHeight="1" hidden="1">
      <c r="A83" s="9" t="s">
        <v>112</v>
      </c>
      <c r="B83" s="36" t="s">
        <v>212</v>
      </c>
      <c r="C83" s="14">
        <f>SUM(C84:C89)</f>
        <v>1390148</v>
      </c>
      <c r="D83" s="14">
        <f>SUM(D84:D89)</f>
        <v>-61828</v>
      </c>
      <c r="E83" s="14">
        <f t="shared" si="4"/>
        <v>1328320</v>
      </c>
      <c r="F83" s="14">
        <f>SUM(F84:F89)</f>
        <v>0</v>
      </c>
      <c r="G83" s="14">
        <f t="shared" si="4"/>
        <v>1328320</v>
      </c>
      <c r="H83" s="14">
        <f>SUM(H84:H89)</f>
        <v>1073363</v>
      </c>
      <c r="I83" s="14">
        <f>SUM(I84:I89)</f>
        <v>0</v>
      </c>
      <c r="J83" s="14">
        <f t="shared" si="5"/>
        <v>1073363</v>
      </c>
      <c r="K83" s="14">
        <f>SUM(K84:K89)</f>
        <v>614017</v>
      </c>
      <c r="L83" s="14">
        <f>SUM(L84:L89)</f>
        <v>-250</v>
      </c>
      <c r="M83" s="14">
        <f t="shared" si="6"/>
        <v>613767</v>
      </c>
      <c r="N83" s="14">
        <f>SUM(N84:N89)</f>
        <v>0</v>
      </c>
      <c r="O83" s="14">
        <f t="shared" si="7"/>
        <v>1328320</v>
      </c>
    </row>
    <row r="84" spans="1:15" ht="15.75" hidden="1">
      <c r="A84" s="10" t="s">
        <v>113</v>
      </c>
      <c r="B84" s="35" t="s">
        <v>59</v>
      </c>
      <c r="C84" s="15">
        <f>50000+486238+7104+800000</f>
        <v>1343342</v>
      </c>
      <c r="D84" s="15">
        <f>-35000-22587</f>
        <v>-57587</v>
      </c>
      <c r="E84" s="15">
        <f t="shared" si="4"/>
        <v>1285755</v>
      </c>
      <c r="F84" s="15"/>
      <c r="G84" s="15">
        <f t="shared" si="4"/>
        <v>1285755</v>
      </c>
      <c r="H84" s="15">
        <f>300000+520078+200000</f>
        <v>1020078</v>
      </c>
      <c r="I84" s="15"/>
      <c r="J84" s="15">
        <f t="shared" si="5"/>
        <v>1020078</v>
      </c>
      <c r="K84" s="15">
        <v>556396</v>
      </c>
      <c r="L84" s="15">
        <v>250</v>
      </c>
      <c r="M84" s="15">
        <f t="shared" si="6"/>
        <v>556646</v>
      </c>
      <c r="N84" s="15"/>
      <c r="O84" s="15">
        <f t="shared" si="7"/>
        <v>1285755</v>
      </c>
    </row>
    <row r="85" spans="1:15" ht="15.75" hidden="1">
      <c r="A85" s="10" t="s">
        <v>160</v>
      </c>
      <c r="B85" s="35" t="s">
        <v>60</v>
      </c>
      <c r="C85" s="15"/>
      <c r="D85" s="15"/>
      <c r="E85" s="15">
        <f t="shared" si="4"/>
        <v>0</v>
      </c>
      <c r="F85" s="15"/>
      <c r="G85" s="15">
        <f t="shared" si="4"/>
        <v>0</v>
      </c>
      <c r="H85" s="15"/>
      <c r="I85" s="15"/>
      <c r="J85" s="15">
        <f t="shared" si="5"/>
        <v>0</v>
      </c>
      <c r="K85" s="15"/>
      <c r="L85" s="15"/>
      <c r="M85" s="15">
        <f t="shared" si="6"/>
        <v>0</v>
      </c>
      <c r="N85" s="15"/>
      <c r="O85" s="15">
        <f t="shared" si="7"/>
        <v>0</v>
      </c>
    </row>
    <row r="86" spans="1:15" ht="15.75" hidden="1">
      <c r="A86" s="10" t="s">
        <v>161</v>
      </c>
      <c r="B86" s="35" t="s">
        <v>61</v>
      </c>
      <c r="C86" s="15"/>
      <c r="D86" s="15"/>
      <c r="E86" s="15">
        <f t="shared" si="4"/>
        <v>0</v>
      </c>
      <c r="F86" s="15"/>
      <c r="G86" s="15">
        <f t="shared" si="4"/>
        <v>0</v>
      </c>
      <c r="H86" s="15"/>
      <c r="I86" s="15"/>
      <c r="J86" s="15">
        <f t="shared" si="5"/>
        <v>0</v>
      </c>
      <c r="K86" s="15"/>
      <c r="L86" s="15"/>
      <c r="M86" s="15">
        <f t="shared" si="6"/>
        <v>0</v>
      </c>
      <c r="N86" s="15"/>
      <c r="O86" s="15">
        <f t="shared" si="7"/>
        <v>0</v>
      </c>
    </row>
    <row r="87" spans="1:15" ht="15.75" hidden="1">
      <c r="A87" s="10" t="s">
        <v>114</v>
      </c>
      <c r="B87" s="35" t="s">
        <v>62</v>
      </c>
      <c r="C87" s="15">
        <v>2700</v>
      </c>
      <c r="D87" s="15"/>
      <c r="E87" s="15">
        <f t="shared" si="4"/>
        <v>2700</v>
      </c>
      <c r="F87" s="15"/>
      <c r="G87" s="15">
        <f t="shared" si="4"/>
        <v>2700</v>
      </c>
      <c r="H87" s="15">
        <v>2903</v>
      </c>
      <c r="I87" s="15"/>
      <c r="J87" s="15">
        <f t="shared" si="5"/>
        <v>2903</v>
      </c>
      <c r="K87" s="15">
        <v>3112</v>
      </c>
      <c r="L87" s="15"/>
      <c r="M87" s="15">
        <f t="shared" si="6"/>
        <v>3112</v>
      </c>
      <c r="N87" s="15"/>
      <c r="O87" s="15">
        <f t="shared" si="7"/>
        <v>2700</v>
      </c>
    </row>
    <row r="88" spans="1:15" ht="47.25" hidden="1">
      <c r="A88" s="10" t="s">
        <v>162</v>
      </c>
      <c r="B88" s="35" t="s">
        <v>63</v>
      </c>
      <c r="C88" s="15"/>
      <c r="D88" s="15"/>
      <c r="E88" s="15">
        <f t="shared" si="4"/>
        <v>0</v>
      </c>
      <c r="F88" s="15"/>
      <c r="G88" s="15">
        <f t="shared" si="4"/>
        <v>0</v>
      </c>
      <c r="H88" s="15"/>
      <c r="I88" s="15"/>
      <c r="J88" s="15">
        <f t="shared" si="5"/>
        <v>0</v>
      </c>
      <c r="K88" s="15"/>
      <c r="L88" s="15"/>
      <c r="M88" s="15">
        <f t="shared" si="6"/>
        <v>0</v>
      </c>
      <c r="N88" s="15"/>
      <c r="O88" s="15">
        <f t="shared" si="7"/>
        <v>0</v>
      </c>
    </row>
    <row r="89" spans="1:15" ht="31.5" hidden="1">
      <c r="A89" s="10" t="s">
        <v>115</v>
      </c>
      <c r="B89" s="35" t="s">
        <v>213</v>
      </c>
      <c r="C89" s="15">
        <f>2500+41606</f>
        <v>44106</v>
      </c>
      <c r="D89" s="15">
        <v>-4241</v>
      </c>
      <c r="E89" s="15">
        <f t="shared" si="4"/>
        <v>39865</v>
      </c>
      <c r="F89" s="15"/>
      <c r="G89" s="15">
        <f t="shared" si="4"/>
        <v>39865</v>
      </c>
      <c r="H89" s="15">
        <f>1828+48554</f>
        <v>50382</v>
      </c>
      <c r="I89" s="15"/>
      <c r="J89" s="15">
        <f t="shared" si="5"/>
        <v>50382</v>
      </c>
      <c r="K89" s="15">
        <f>2459+52050</f>
        <v>54509</v>
      </c>
      <c r="L89" s="15">
        <v>-500</v>
      </c>
      <c r="M89" s="15">
        <f t="shared" si="6"/>
        <v>54009</v>
      </c>
      <c r="N89" s="15"/>
      <c r="O89" s="15">
        <f t="shared" si="7"/>
        <v>39865</v>
      </c>
    </row>
    <row r="90" spans="1:15" s="6" customFormat="1" ht="15.75">
      <c r="A90" s="9" t="s">
        <v>116</v>
      </c>
      <c r="B90" s="36" t="s">
        <v>163</v>
      </c>
      <c r="C90" s="14">
        <f>SUM(C91:C100)</f>
        <v>3098775</v>
      </c>
      <c r="D90" s="14">
        <f>SUM(D91:D100)</f>
        <v>-211178</v>
      </c>
      <c r="E90" s="14">
        <f t="shared" si="4"/>
        <v>2887597</v>
      </c>
      <c r="F90" s="14">
        <f>SUM(F91:F100)</f>
        <v>0</v>
      </c>
      <c r="G90" s="14">
        <f t="shared" si="4"/>
        <v>2887597</v>
      </c>
      <c r="H90" s="14">
        <f>SUM(H91:H100)</f>
        <v>3322377</v>
      </c>
      <c r="I90" s="14">
        <f>SUM(I91:I100)</f>
        <v>25800</v>
      </c>
      <c r="J90" s="14">
        <f t="shared" si="5"/>
        <v>3348177</v>
      </c>
      <c r="K90" s="14">
        <f>SUM(K91:K100)</f>
        <v>3198504</v>
      </c>
      <c r="L90" s="14">
        <f>SUM(L91:L100)</f>
        <v>27658</v>
      </c>
      <c r="M90" s="14">
        <f t="shared" si="6"/>
        <v>3226162</v>
      </c>
      <c r="N90" s="14">
        <f>SUM(N91:N100)</f>
        <v>-174455</v>
      </c>
      <c r="O90" s="14">
        <f t="shared" si="7"/>
        <v>2713142</v>
      </c>
    </row>
    <row r="91" spans="1:15" ht="15.75">
      <c r="A91" s="10" t="s">
        <v>117</v>
      </c>
      <c r="B91" s="35" t="s">
        <v>164</v>
      </c>
      <c r="C91" s="15">
        <f>629657+1291168+1526+70000+200000</f>
        <v>2192351</v>
      </c>
      <c r="D91" s="15">
        <f>-157117-14861</f>
        <v>-171978</v>
      </c>
      <c r="E91" s="15">
        <f t="shared" si="4"/>
        <v>2020373</v>
      </c>
      <c r="F91" s="15"/>
      <c r="G91" s="15">
        <f t="shared" si="4"/>
        <v>2020373</v>
      </c>
      <c r="H91" s="15">
        <f>519300+1377329+90000+400000</f>
        <v>2386629</v>
      </c>
      <c r="I91" s="15">
        <v>22435</v>
      </c>
      <c r="J91" s="15">
        <f t="shared" si="5"/>
        <v>2409064</v>
      </c>
      <c r="K91" s="15">
        <f>722000+1474245</f>
        <v>2196245</v>
      </c>
      <c r="L91" s="15">
        <v>24050</v>
      </c>
      <c r="M91" s="15">
        <f t="shared" si="6"/>
        <v>2220295</v>
      </c>
      <c r="N91" s="15">
        <v>-174455</v>
      </c>
      <c r="O91" s="15">
        <f t="shared" si="7"/>
        <v>1845918</v>
      </c>
    </row>
    <row r="92" spans="1:15" ht="18.75" customHeight="1" hidden="1">
      <c r="A92" s="10" t="s">
        <v>118</v>
      </c>
      <c r="B92" s="35" t="s">
        <v>165</v>
      </c>
      <c r="C92" s="15">
        <f>113127+6924</f>
        <v>120051</v>
      </c>
      <c r="D92" s="15">
        <v>-7583</v>
      </c>
      <c r="E92" s="15">
        <f t="shared" si="4"/>
        <v>112468</v>
      </c>
      <c r="F92" s="15"/>
      <c r="G92" s="15">
        <f t="shared" si="4"/>
        <v>112468</v>
      </c>
      <c r="H92" s="15">
        <v>121611</v>
      </c>
      <c r="I92" s="15"/>
      <c r="J92" s="15">
        <f t="shared" si="5"/>
        <v>121611</v>
      </c>
      <c r="K92" s="15">
        <v>130367</v>
      </c>
      <c r="L92" s="15"/>
      <c r="M92" s="15">
        <f t="shared" si="6"/>
        <v>130367</v>
      </c>
      <c r="N92" s="15"/>
      <c r="O92" s="15">
        <f t="shared" si="7"/>
        <v>112468</v>
      </c>
    </row>
    <row r="93" spans="1:15" ht="16.5" customHeight="1" hidden="1">
      <c r="A93" s="10" t="s">
        <v>166</v>
      </c>
      <c r="B93" s="35" t="s">
        <v>167</v>
      </c>
      <c r="C93" s="15">
        <f>38742-2961</f>
        <v>35781</v>
      </c>
      <c r="D93" s="15">
        <v>-1171</v>
      </c>
      <c r="E93" s="15">
        <f t="shared" si="4"/>
        <v>34610</v>
      </c>
      <c r="F93" s="15"/>
      <c r="G93" s="15">
        <f t="shared" si="4"/>
        <v>34610</v>
      </c>
      <c r="H93" s="15">
        <v>41648</v>
      </c>
      <c r="I93" s="15"/>
      <c r="J93" s="15">
        <f t="shared" si="5"/>
        <v>41648</v>
      </c>
      <c r="K93" s="15">
        <v>44646</v>
      </c>
      <c r="L93" s="15"/>
      <c r="M93" s="15">
        <f t="shared" si="6"/>
        <v>44646</v>
      </c>
      <c r="N93" s="15"/>
      <c r="O93" s="15">
        <f t="shared" si="7"/>
        <v>34610</v>
      </c>
    </row>
    <row r="94" spans="1:15" ht="15.75" hidden="1">
      <c r="A94" s="10" t="s">
        <v>119</v>
      </c>
      <c r="B94" s="35" t="s">
        <v>168</v>
      </c>
      <c r="C94" s="15">
        <f>17766+269</f>
        <v>18035</v>
      </c>
      <c r="D94" s="15">
        <v>-1460</v>
      </c>
      <c r="E94" s="15">
        <f t="shared" si="4"/>
        <v>16575</v>
      </c>
      <c r="F94" s="15"/>
      <c r="G94" s="15">
        <f t="shared" si="4"/>
        <v>16575</v>
      </c>
      <c r="H94" s="15">
        <v>19098</v>
      </c>
      <c r="I94" s="15"/>
      <c r="J94" s="15">
        <f t="shared" si="5"/>
        <v>19098</v>
      </c>
      <c r="K94" s="15">
        <v>20473</v>
      </c>
      <c r="L94" s="15"/>
      <c r="M94" s="15">
        <f t="shared" si="6"/>
        <v>20473</v>
      </c>
      <c r="N94" s="15"/>
      <c r="O94" s="15">
        <f t="shared" si="7"/>
        <v>16575</v>
      </c>
    </row>
    <row r="95" spans="1:15" ht="15.75" hidden="1">
      <c r="A95" s="10" t="s">
        <v>169</v>
      </c>
      <c r="B95" s="35" t="s">
        <v>170</v>
      </c>
      <c r="C95" s="15">
        <f>50931+253</f>
        <v>51184</v>
      </c>
      <c r="D95" s="15">
        <v>-1449</v>
      </c>
      <c r="E95" s="15">
        <f t="shared" si="4"/>
        <v>49735</v>
      </c>
      <c r="F95" s="15"/>
      <c r="G95" s="15">
        <f t="shared" si="4"/>
        <v>49735</v>
      </c>
      <c r="H95" s="15">
        <v>54751</v>
      </c>
      <c r="I95" s="15"/>
      <c r="J95" s="15">
        <f t="shared" si="5"/>
        <v>54751</v>
      </c>
      <c r="K95" s="15">
        <v>58693</v>
      </c>
      <c r="L95" s="15"/>
      <c r="M95" s="15">
        <f t="shared" si="6"/>
        <v>58693</v>
      </c>
      <c r="N95" s="15"/>
      <c r="O95" s="15">
        <f t="shared" si="7"/>
        <v>49735</v>
      </c>
    </row>
    <row r="96" spans="1:15" ht="31.5" hidden="1">
      <c r="A96" s="10" t="s">
        <v>171</v>
      </c>
      <c r="B96" s="35" t="s">
        <v>218</v>
      </c>
      <c r="C96" s="15">
        <f>76610+567</f>
        <v>77177</v>
      </c>
      <c r="D96" s="15">
        <v>-4134</v>
      </c>
      <c r="E96" s="15">
        <f t="shared" si="4"/>
        <v>73043</v>
      </c>
      <c r="F96" s="15"/>
      <c r="G96" s="15">
        <f t="shared" si="4"/>
        <v>73043</v>
      </c>
      <c r="H96" s="15">
        <v>82356</v>
      </c>
      <c r="I96" s="15"/>
      <c r="J96" s="15">
        <f t="shared" si="5"/>
        <v>82356</v>
      </c>
      <c r="K96" s="15">
        <v>88286</v>
      </c>
      <c r="L96" s="15"/>
      <c r="M96" s="15">
        <f t="shared" si="6"/>
        <v>88286</v>
      </c>
      <c r="N96" s="15"/>
      <c r="O96" s="15">
        <f t="shared" si="7"/>
        <v>73043</v>
      </c>
    </row>
    <row r="97" spans="1:15" ht="15.75" hidden="1">
      <c r="A97" s="10" t="s">
        <v>172</v>
      </c>
      <c r="B97" s="35" t="s">
        <v>173</v>
      </c>
      <c r="C97" s="15">
        <v>18000</v>
      </c>
      <c r="D97" s="15"/>
      <c r="E97" s="15">
        <f t="shared" si="4"/>
        <v>18000</v>
      </c>
      <c r="F97" s="15"/>
      <c r="G97" s="15">
        <f t="shared" si="4"/>
        <v>18000</v>
      </c>
      <c r="H97" s="15">
        <v>19350</v>
      </c>
      <c r="I97" s="15"/>
      <c r="J97" s="15">
        <f t="shared" si="5"/>
        <v>19350</v>
      </c>
      <c r="K97" s="15">
        <v>20743</v>
      </c>
      <c r="L97" s="15"/>
      <c r="M97" s="15">
        <f t="shared" si="6"/>
        <v>20743</v>
      </c>
      <c r="N97" s="15"/>
      <c r="O97" s="15">
        <f t="shared" si="7"/>
        <v>18000</v>
      </c>
    </row>
    <row r="98" spans="1:15" ht="15.75" hidden="1">
      <c r="A98" s="10" t="s">
        <v>174</v>
      </c>
      <c r="B98" s="35" t="s">
        <v>175</v>
      </c>
      <c r="C98" s="15">
        <f>209149+26000</f>
        <v>235149</v>
      </c>
      <c r="D98" s="15">
        <f>5000-13000</f>
        <v>-8000</v>
      </c>
      <c r="E98" s="15">
        <f t="shared" si="4"/>
        <v>227149</v>
      </c>
      <c r="F98" s="15"/>
      <c r="G98" s="15">
        <f t="shared" si="4"/>
        <v>227149</v>
      </c>
      <c r="H98" s="15">
        <f>196052+25095</f>
        <v>221147</v>
      </c>
      <c r="I98" s="15"/>
      <c r="J98" s="15">
        <f t="shared" si="5"/>
        <v>221147</v>
      </c>
      <c r="K98" s="15">
        <f>209633+26600</f>
        <v>236233</v>
      </c>
      <c r="L98" s="15"/>
      <c r="M98" s="15">
        <f t="shared" si="6"/>
        <v>236233</v>
      </c>
      <c r="N98" s="15"/>
      <c r="O98" s="15">
        <f t="shared" si="7"/>
        <v>227149</v>
      </c>
    </row>
    <row r="99" spans="1:15" ht="31.5" hidden="1">
      <c r="A99" s="10" t="s">
        <v>176</v>
      </c>
      <c r="B99" s="35" t="s">
        <v>177</v>
      </c>
      <c r="C99" s="15"/>
      <c r="D99" s="15"/>
      <c r="E99" s="15">
        <f t="shared" si="4"/>
        <v>0</v>
      </c>
      <c r="F99" s="15"/>
      <c r="G99" s="15">
        <f t="shared" si="4"/>
        <v>0</v>
      </c>
      <c r="H99" s="15"/>
      <c r="I99" s="15"/>
      <c r="J99" s="15">
        <f t="shared" si="5"/>
        <v>0</v>
      </c>
      <c r="K99" s="15"/>
      <c r="L99" s="15"/>
      <c r="M99" s="15">
        <f t="shared" si="6"/>
        <v>0</v>
      </c>
      <c r="N99" s="15"/>
      <c r="O99" s="15">
        <f t="shared" si="7"/>
        <v>0</v>
      </c>
    </row>
    <row r="100" spans="1:15" ht="31.5" hidden="1">
      <c r="A100" s="10" t="s">
        <v>179</v>
      </c>
      <c r="B100" s="35" t="s">
        <v>178</v>
      </c>
      <c r="C100" s="15">
        <f>295596+53939+1512</f>
        <v>351047</v>
      </c>
      <c r="D100" s="15">
        <f>-9453-5950</f>
        <v>-15403</v>
      </c>
      <c r="E100" s="15">
        <f t="shared" si="4"/>
        <v>335644</v>
      </c>
      <c r="F100" s="15"/>
      <c r="G100" s="15">
        <f t="shared" si="4"/>
        <v>335644</v>
      </c>
      <c r="H100" s="15">
        <f>317766+58021</f>
        <v>375787</v>
      </c>
      <c r="I100" s="15">
        <v>3365</v>
      </c>
      <c r="J100" s="15">
        <f t="shared" si="5"/>
        <v>379152</v>
      </c>
      <c r="K100" s="15">
        <f>340645+62173</f>
        <v>402818</v>
      </c>
      <c r="L100" s="15">
        <v>3608</v>
      </c>
      <c r="M100" s="15">
        <f t="shared" si="6"/>
        <v>406426</v>
      </c>
      <c r="N100" s="15"/>
      <c r="O100" s="15">
        <f t="shared" si="7"/>
        <v>335644</v>
      </c>
    </row>
    <row r="101" spans="1:15" s="16" customFormat="1" ht="15.75" hidden="1">
      <c r="A101" s="9" t="s">
        <v>120</v>
      </c>
      <c r="B101" s="36" t="s">
        <v>64</v>
      </c>
      <c r="C101" s="14">
        <f>SUM(C102:C107)</f>
        <v>1975303</v>
      </c>
      <c r="D101" s="14">
        <f>SUM(D102:D107)</f>
        <v>-29326</v>
      </c>
      <c r="E101" s="14">
        <f t="shared" si="4"/>
        <v>1945977</v>
      </c>
      <c r="F101" s="14">
        <f>SUM(F102:F107)</f>
        <v>0</v>
      </c>
      <c r="G101" s="14">
        <f t="shared" si="4"/>
        <v>1945977</v>
      </c>
      <c r="H101" s="14">
        <f>SUM(H102:H107)</f>
        <v>2113164</v>
      </c>
      <c r="I101" s="14">
        <f>SUM(I102:I107)</f>
        <v>32250</v>
      </c>
      <c r="J101" s="14">
        <f t="shared" si="5"/>
        <v>2145414</v>
      </c>
      <c r="K101" s="14">
        <f>SUM(K102:K107)</f>
        <v>2243994</v>
      </c>
      <c r="L101" s="14">
        <f>SUM(L102:L107)</f>
        <v>147170</v>
      </c>
      <c r="M101" s="14">
        <f t="shared" si="6"/>
        <v>2391164</v>
      </c>
      <c r="N101" s="14">
        <f>SUM(N102:N107)</f>
        <v>0</v>
      </c>
      <c r="O101" s="14">
        <f t="shared" si="7"/>
        <v>1945977</v>
      </c>
    </row>
    <row r="102" spans="1:15" ht="15.75" hidden="1">
      <c r="A102" s="10">
        <v>1001</v>
      </c>
      <c r="B102" s="35" t="s">
        <v>65</v>
      </c>
      <c r="C102" s="15">
        <v>47446</v>
      </c>
      <c r="D102" s="15">
        <v>-2252</v>
      </c>
      <c r="E102" s="15">
        <f t="shared" si="4"/>
        <v>45194</v>
      </c>
      <c r="F102" s="15"/>
      <c r="G102" s="15">
        <f t="shared" si="4"/>
        <v>45194</v>
      </c>
      <c r="H102" s="15">
        <v>51004</v>
      </c>
      <c r="I102" s="15"/>
      <c r="J102" s="15">
        <f t="shared" si="5"/>
        <v>51004</v>
      </c>
      <c r="K102" s="15">
        <v>54677</v>
      </c>
      <c r="L102" s="15"/>
      <c r="M102" s="15">
        <f t="shared" si="6"/>
        <v>54677</v>
      </c>
      <c r="N102" s="15"/>
      <c r="O102" s="15">
        <f t="shared" si="7"/>
        <v>45194</v>
      </c>
    </row>
    <row r="103" spans="1:15" ht="15.75" hidden="1">
      <c r="A103" s="10">
        <v>1002</v>
      </c>
      <c r="B103" s="35" t="s">
        <v>66</v>
      </c>
      <c r="C103" s="15">
        <f>845494+37839</f>
        <v>883333</v>
      </c>
      <c r="D103" s="15">
        <v>-17547</v>
      </c>
      <c r="E103" s="15">
        <f t="shared" si="4"/>
        <v>865786</v>
      </c>
      <c r="F103" s="15"/>
      <c r="G103" s="15">
        <f t="shared" si="4"/>
        <v>865786</v>
      </c>
      <c r="H103" s="15">
        <v>908906</v>
      </c>
      <c r="I103" s="15"/>
      <c r="J103" s="15">
        <f t="shared" si="5"/>
        <v>908906</v>
      </c>
      <c r="K103" s="15">
        <v>974348</v>
      </c>
      <c r="L103" s="15"/>
      <c r="M103" s="15">
        <f t="shared" si="6"/>
        <v>974348</v>
      </c>
      <c r="N103" s="15"/>
      <c r="O103" s="15">
        <f t="shared" si="7"/>
        <v>865786</v>
      </c>
    </row>
    <row r="104" spans="1:15" s="17" customFormat="1" ht="15.75" hidden="1">
      <c r="A104" s="10">
        <v>1003</v>
      </c>
      <c r="B104" s="35" t="s">
        <v>67</v>
      </c>
      <c r="C104" s="15">
        <f>240477+1000+480421+221446</f>
        <v>943344</v>
      </c>
      <c r="D104" s="15"/>
      <c r="E104" s="15">
        <f t="shared" si="4"/>
        <v>943344</v>
      </c>
      <c r="F104" s="15"/>
      <c r="G104" s="15">
        <f t="shared" si="4"/>
        <v>943344</v>
      </c>
      <c r="H104" s="15">
        <f>316910+1000+498901+226179</f>
        <v>1042990</v>
      </c>
      <c r="I104" s="15">
        <v>32250</v>
      </c>
      <c r="J104" s="15">
        <f t="shared" si="5"/>
        <v>1075240</v>
      </c>
      <c r="K104" s="15">
        <f>339727+1000+533753+222278</f>
        <v>1096758</v>
      </c>
      <c r="L104" s="15">
        <f>34570+112600</f>
        <v>147170</v>
      </c>
      <c r="M104" s="15">
        <f t="shared" si="6"/>
        <v>1243928</v>
      </c>
      <c r="N104" s="15"/>
      <c r="O104" s="15">
        <f t="shared" si="7"/>
        <v>943344</v>
      </c>
    </row>
    <row r="105" spans="1:15" ht="15.75" hidden="1">
      <c r="A105" s="10">
        <v>1004</v>
      </c>
      <c r="B105" s="35" t="s">
        <v>214</v>
      </c>
      <c r="C105" s="15">
        <v>41535</v>
      </c>
      <c r="D105" s="15"/>
      <c r="E105" s="15">
        <f t="shared" si="4"/>
        <v>41535</v>
      </c>
      <c r="F105" s="15"/>
      <c r="G105" s="15">
        <f t="shared" si="4"/>
        <v>41535</v>
      </c>
      <c r="H105" s="15">
        <v>45931</v>
      </c>
      <c r="I105" s="15"/>
      <c r="J105" s="15">
        <f t="shared" si="5"/>
        <v>45931</v>
      </c>
      <c r="K105" s="15">
        <v>49246</v>
      </c>
      <c r="L105" s="15"/>
      <c r="M105" s="15">
        <f t="shared" si="6"/>
        <v>49246</v>
      </c>
      <c r="N105" s="15"/>
      <c r="O105" s="15">
        <f t="shared" si="7"/>
        <v>41535</v>
      </c>
    </row>
    <row r="106" spans="1:15" ht="31.5" hidden="1">
      <c r="A106" s="10">
        <v>1005</v>
      </c>
      <c r="B106" s="35" t="s">
        <v>68</v>
      </c>
      <c r="C106" s="15"/>
      <c r="D106" s="15"/>
      <c r="E106" s="15">
        <f t="shared" si="4"/>
        <v>0</v>
      </c>
      <c r="F106" s="15"/>
      <c r="G106" s="15">
        <f t="shared" si="4"/>
        <v>0</v>
      </c>
      <c r="H106" s="15"/>
      <c r="I106" s="15"/>
      <c r="J106" s="15">
        <f t="shared" si="5"/>
        <v>0</v>
      </c>
      <c r="K106" s="15"/>
      <c r="L106" s="15"/>
      <c r="M106" s="15">
        <f t="shared" si="6"/>
        <v>0</v>
      </c>
      <c r="N106" s="15"/>
      <c r="O106" s="15">
        <f t="shared" si="7"/>
        <v>0</v>
      </c>
    </row>
    <row r="107" spans="1:15" ht="15.75" hidden="1">
      <c r="A107" s="10">
        <v>1006</v>
      </c>
      <c r="B107" s="35" t="s">
        <v>69</v>
      </c>
      <c r="C107" s="15">
        <v>59645</v>
      </c>
      <c r="D107" s="15">
        <v>-9527</v>
      </c>
      <c r="E107" s="15">
        <f t="shared" si="4"/>
        <v>50118</v>
      </c>
      <c r="F107" s="15"/>
      <c r="G107" s="15">
        <f t="shared" si="4"/>
        <v>50118</v>
      </c>
      <c r="H107" s="15">
        <v>64333</v>
      </c>
      <c r="I107" s="15"/>
      <c r="J107" s="15">
        <f t="shared" si="5"/>
        <v>64333</v>
      </c>
      <c r="K107" s="15">
        <v>68965</v>
      </c>
      <c r="L107" s="15"/>
      <c r="M107" s="15">
        <f t="shared" si="6"/>
        <v>68965</v>
      </c>
      <c r="N107" s="15"/>
      <c r="O107" s="15">
        <f t="shared" si="7"/>
        <v>50118</v>
      </c>
    </row>
    <row r="108" spans="1:15" s="16" customFormat="1" ht="15.75">
      <c r="A108" s="9">
        <v>1100</v>
      </c>
      <c r="B108" s="37" t="s">
        <v>70</v>
      </c>
      <c r="C108" s="22">
        <f>SUM(C109:C113)</f>
        <v>20843700</v>
      </c>
      <c r="D108" s="22">
        <f>SUM(D109:D113)</f>
        <v>-2015462</v>
      </c>
      <c r="E108" s="22">
        <f t="shared" si="4"/>
        <v>18828238</v>
      </c>
      <c r="F108" s="22">
        <f>SUM(F109:F113)</f>
        <v>51600</v>
      </c>
      <c r="G108" s="22">
        <f t="shared" si="4"/>
        <v>18879838</v>
      </c>
      <c r="H108" s="14">
        <f>SUM(H109:H113)</f>
        <v>20440158</v>
      </c>
      <c r="I108" s="14">
        <f>SUM(I109:I113)</f>
        <v>-1467519</v>
      </c>
      <c r="J108" s="14">
        <f t="shared" si="5"/>
        <v>18972639</v>
      </c>
      <c r="K108" s="14">
        <f>SUM(K109:K113)</f>
        <v>19804802</v>
      </c>
      <c r="L108" s="14">
        <f>SUM(L109:L113)</f>
        <v>-1826648</v>
      </c>
      <c r="M108" s="14">
        <f t="shared" si="6"/>
        <v>17978154</v>
      </c>
      <c r="N108" s="22">
        <f>SUM(N109:N113)</f>
        <v>-12000</v>
      </c>
      <c r="O108" s="22">
        <f t="shared" si="7"/>
        <v>18867838</v>
      </c>
    </row>
    <row r="109" spans="1:15" ht="31.5" hidden="1">
      <c r="A109" s="10">
        <v>1101</v>
      </c>
      <c r="B109" s="35" t="s">
        <v>207</v>
      </c>
      <c r="C109" s="15">
        <v>3849719</v>
      </c>
      <c r="D109" s="15">
        <v>-1308941</v>
      </c>
      <c r="E109" s="15">
        <f t="shared" si="4"/>
        <v>2540778</v>
      </c>
      <c r="F109" s="15"/>
      <c r="G109" s="15">
        <f t="shared" si="4"/>
        <v>2540778</v>
      </c>
      <c r="H109" s="15">
        <v>4063783</v>
      </c>
      <c r="I109" s="15">
        <v>-1408990</v>
      </c>
      <c r="J109" s="15">
        <f t="shared" si="5"/>
        <v>2654793</v>
      </c>
      <c r="K109" s="15">
        <v>4514001</v>
      </c>
      <c r="L109" s="15">
        <v>-1650770</v>
      </c>
      <c r="M109" s="15">
        <f t="shared" si="6"/>
        <v>2863231</v>
      </c>
      <c r="N109" s="15"/>
      <c r="O109" s="15">
        <f t="shared" si="7"/>
        <v>2540778</v>
      </c>
    </row>
    <row r="110" spans="1:15" ht="32.25" customHeight="1">
      <c r="A110" s="10" t="s">
        <v>180</v>
      </c>
      <c r="B110" s="38" t="s">
        <v>208</v>
      </c>
      <c r="C110" s="15">
        <f>1766776+135600+2040380+177511+929160+17000+1843+60000+156000</f>
        <v>5284270</v>
      </c>
      <c r="D110" s="15">
        <f>-22400+17000-282175+155643-24516+40000+320</f>
        <v>-116128</v>
      </c>
      <c r="E110" s="15">
        <f t="shared" si="4"/>
        <v>5168142</v>
      </c>
      <c r="F110" s="15">
        <f>24000+600</f>
        <v>24600</v>
      </c>
      <c r="G110" s="39">
        <f t="shared" si="4"/>
        <v>5192742</v>
      </c>
      <c r="H110" s="15">
        <f>1803653+258030+5000+190487+1236400+741840+18000</f>
        <v>4253410</v>
      </c>
      <c r="I110" s="15">
        <f>-1379-32250-25800+900</f>
        <v>-58529</v>
      </c>
      <c r="J110" s="15">
        <f t="shared" si="5"/>
        <v>4194881</v>
      </c>
      <c r="K110" s="15">
        <f>1741870+259760+5000+199665+16000</f>
        <v>2222295</v>
      </c>
      <c r="L110" s="15">
        <f>-1050-112600-34570-27658</f>
        <v>-175878</v>
      </c>
      <c r="M110" s="15">
        <f t="shared" si="6"/>
        <v>2046417</v>
      </c>
      <c r="N110" s="15">
        <v>-12000</v>
      </c>
      <c r="O110" s="39">
        <f t="shared" si="7"/>
        <v>5180742</v>
      </c>
    </row>
    <row r="111" spans="1:15" ht="30.75" customHeight="1" hidden="1">
      <c r="A111" s="10" t="s">
        <v>181</v>
      </c>
      <c r="B111" s="38" t="s">
        <v>209</v>
      </c>
      <c r="C111" s="15">
        <f>2267374+9789+5994070+292684+5097+27161+34903</f>
        <v>8631078</v>
      </c>
      <c r="D111" s="15">
        <v>-324200</v>
      </c>
      <c r="E111" s="15">
        <f t="shared" si="4"/>
        <v>8306878</v>
      </c>
      <c r="F111" s="15">
        <v>27000</v>
      </c>
      <c r="G111" s="39">
        <f t="shared" si="4"/>
        <v>8333878</v>
      </c>
      <c r="H111" s="15">
        <f>2439838+10668+6458735+315748</f>
        <v>9224989</v>
      </c>
      <c r="I111" s="15"/>
      <c r="J111" s="15">
        <f t="shared" si="5"/>
        <v>9224989</v>
      </c>
      <c r="K111" s="15">
        <f>2817615+11354+6899945+338114</f>
        <v>10067028</v>
      </c>
      <c r="L111" s="15"/>
      <c r="M111" s="15">
        <f t="shared" si="6"/>
        <v>10067028</v>
      </c>
      <c r="N111" s="15"/>
      <c r="O111" s="39">
        <f t="shared" si="7"/>
        <v>8333878</v>
      </c>
    </row>
    <row r="112" spans="1:15" ht="15.75" hidden="1">
      <c r="A112" s="10" t="s">
        <v>182</v>
      </c>
      <c r="B112" s="35" t="s">
        <v>183</v>
      </c>
      <c r="C112" s="15">
        <f>755298+62616+51994+4910</f>
        <v>874818</v>
      </c>
      <c r="D112" s="15">
        <f>-45401-19362</f>
        <v>-64763</v>
      </c>
      <c r="E112" s="15">
        <f t="shared" si="4"/>
        <v>810055</v>
      </c>
      <c r="F112" s="15"/>
      <c r="G112" s="15">
        <f t="shared" si="4"/>
        <v>810055</v>
      </c>
      <c r="H112" s="15">
        <f>465636+58854+5285</f>
        <v>529775</v>
      </c>
      <c r="I112" s="15"/>
      <c r="J112" s="15">
        <f t="shared" si="5"/>
        <v>529775</v>
      </c>
      <c r="K112" s="15">
        <f>407620+50341+5670</f>
        <v>463631</v>
      </c>
      <c r="L112" s="15"/>
      <c r="M112" s="15">
        <f t="shared" si="6"/>
        <v>463631</v>
      </c>
      <c r="N112" s="15"/>
      <c r="O112" s="15">
        <f t="shared" si="7"/>
        <v>810055</v>
      </c>
    </row>
    <row r="113" spans="1:15" s="17" customFormat="1" ht="31.5" hidden="1">
      <c r="A113" s="10" t="s">
        <v>184</v>
      </c>
      <c r="B113" s="35" t="s">
        <v>185</v>
      </c>
      <c r="C113" s="15">
        <f>2188735+15080</f>
        <v>2203815</v>
      </c>
      <c r="D113" s="15">
        <v>-201430</v>
      </c>
      <c r="E113" s="15">
        <f t="shared" si="4"/>
        <v>2002385</v>
      </c>
      <c r="F113" s="15"/>
      <c r="G113" s="15">
        <f t="shared" si="4"/>
        <v>2002385</v>
      </c>
      <c r="H113" s="15">
        <f>2351990+16211</f>
        <v>2368201</v>
      </c>
      <c r="I113" s="15"/>
      <c r="J113" s="15">
        <f t="shared" si="5"/>
        <v>2368201</v>
      </c>
      <c r="K113" s="15">
        <f>2520469+17378</f>
        <v>2537847</v>
      </c>
      <c r="L113" s="15"/>
      <c r="M113" s="15">
        <f t="shared" si="6"/>
        <v>2537847</v>
      </c>
      <c r="N113" s="15"/>
      <c r="O113" s="15">
        <f t="shared" si="7"/>
        <v>2002385</v>
      </c>
    </row>
    <row r="114" spans="1:15" s="6" customFormat="1" ht="15.75">
      <c r="A114" s="43" t="s">
        <v>210</v>
      </c>
      <c r="B114" s="43"/>
      <c r="C114" s="14">
        <f>C9+C23+C33+C48+C61+C67+C73+C83+C90+C101+C108</f>
        <v>40957853</v>
      </c>
      <c r="D114" s="14">
        <f>D9+D23+D33+D48+D61+D67+D73+D83+D90+D101+D108</f>
        <v>-3087526</v>
      </c>
      <c r="E114" s="14">
        <f t="shared" si="4"/>
        <v>37870327</v>
      </c>
      <c r="F114" s="14">
        <f>F9+F23+F33+F48+F61+F67+F73+F83+F90+F101+F108</f>
        <v>60000</v>
      </c>
      <c r="G114" s="14">
        <f t="shared" si="4"/>
        <v>37930327</v>
      </c>
      <c r="H114" s="14">
        <f>H9+H23+H33+H48+H61+H67+H73+H83+H90+H101+H108</f>
        <v>40169613</v>
      </c>
      <c r="I114" s="14">
        <f>I9+I23+I33+I48+I61+I67+I73+I83+I90+I101+I108</f>
        <v>-1408990</v>
      </c>
      <c r="J114" s="14">
        <f t="shared" si="5"/>
        <v>38760623</v>
      </c>
      <c r="K114" s="14">
        <f>K9+K23+K33+K48+K61+K67+K73+K83+K90+K101+K108</f>
        <v>37878672</v>
      </c>
      <c r="L114" s="14">
        <f>L9+L23+L33+L48+L61+L67+L73+L83+L90+L101+L108</f>
        <v>-1650770</v>
      </c>
      <c r="M114" s="14">
        <f t="shared" si="6"/>
        <v>36227902</v>
      </c>
      <c r="N114" s="14">
        <f>N9+N23+N33+N48+N61+N67+N73+N83+N90+N101+N108</f>
        <v>384575</v>
      </c>
      <c r="O114" s="14">
        <f t="shared" si="7"/>
        <v>38314902</v>
      </c>
    </row>
    <row r="115" spans="1:15" s="6" customFormat="1" ht="15.75" hidden="1">
      <c r="A115" s="44" t="s">
        <v>224</v>
      </c>
      <c r="B115" s="45"/>
      <c r="C115" s="14"/>
      <c r="D115" s="14"/>
      <c r="E115" s="14"/>
      <c r="F115" s="14"/>
      <c r="G115" s="14"/>
      <c r="H115" s="22">
        <f>1055560-1100</f>
        <v>1054460</v>
      </c>
      <c r="I115" s="22">
        <v>1408990</v>
      </c>
      <c r="J115" s="22">
        <f t="shared" si="5"/>
        <v>2463450</v>
      </c>
      <c r="K115" s="22">
        <v>2042950</v>
      </c>
      <c r="L115" s="22">
        <v>1650770</v>
      </c>
      <c r="M115" s="22">
        <f t="shared" si="6"/>
        <v>3693720</v>
      </c>
      <c r="N115" s="14"/>
      <c r="O115" s="14">
        <f t="shared" si="7"/>
        <v>0</v>
      </c>
    </row>
    <row r="116" spans="1:15" s="6" customFormat="1" ht="33.75" customHeight="1" hidden="1">
      <c r="A116" s="44" t="s">
        <v>211</v>
      </c>
      <c r="B116" s="45"/>
      <c r="C116" s="19">
        <f>3003+105085+709085+8030</f>
        <v>825203</v>
      </c>
      <c r="D116" s="19"/>
      <c r="E116" s="19">
        <f t="shared" si="4"/>
        <v>825203</v>
      </c>
      <c r="F116" s="19"/>
      <c r="G116" s="19">
        <f t="shared" si="4"/>
        <v>825203</v>
      </c>
      <c r="H116" s="19">
        <f>3345+112391+752024+8960</f>
        <v>876720</v>
      </c>
      <c r="I116" s="19"/>
      <c r="J116" s="19">
        <f t="shared" si="5"/>
        <v>876720</v>
      </c>
      <c r="K116" s="19">
        <f>3735+116737+797068+9880</f>
        <v>927420</v>
      </c>
      <c r="L116" s="19"/>
      <c r="M116" s="19">
        <f t="shared" si="6"/>
        <v>927420</v>
      </c>
      <c r="N116" s="19"/>
      <c r="O116" s="19">
        <f t="shared" si="7"/>
        <v>825203</v>
      </c>
    </row>
    <row r="117" spans="1:16" s="6" customFormat="1" ht="15.75">
      <c r="A117" s="43" t="s">
        <v>72</v>
      </c>
      <c r="B117" s="43"/>
      <c r="C117" s="22">
        <f>C116+C114+C115</f>
        <v>41783056</v>
      </c>
      <c r="D117" s="22">
        <f>D116+D114+D115</f>
        <v>-3087526</v>
      </c>
      <c r="E117" s="22">
        <f t="shared" si="4"/>
        <v>38695530</v>
      </c>
      <c r="F117" s="22">
        <f>F116+F114+F115</f>
        <v>60000</v>
      </c>
      <c r="G117" s="22">
        <f t="shared" si="4"/>
        <v>38755530</v>
      </c>
      <c r="H117" s="22">
        <f>H116+H114+H115</f>
        <v>42100793</v>
      </c>
      <c r="I117" s="22">
        <f>I116+I114+I115</f>
        <v>0</v>
      </c>
      <c r="J117" s="22">
        <f t="shared" si="5"/>
        <v>42100793</v>
      </c>
      <c r="K117" s="22">
        <f>K116+K114+K115</f>
        <v>40849042</v>
      </c>
      <c r="L117" s="22">
        <f>L116+L114+L115</f>
        <v>0</v>
      </c>
      <c r="M117" s="22">
        <f t="shared" si="6"/>
        <v>40849042</v>
      </c>
      <c r="N117" s="22">
        <f>N116+N114+N115</f>
        <v>384575</v>
      </c>
      <c r="O117" s="22">
        <f t="shared" si="7"/>
        <v>39140105</v>
      </c>
      <c r="P117" s="21"/>
    </row>
    <row r="118" spans="1:15" s="6" customFormat="1" ht="15.75" hidden="1">
      <c r="A118" s="41" t="s">
        <v>73</v>
      </c>
      <c r="B118" s="42"/>
      <c r="C118" s="14">
        <f>'[1]Лист1'!$C$106-C117</f>
        <v>-2168521</v>
      </c>
      <c r="D118" s="14"/>
      <c r="E118" s="14"/>
      <c r="F118" s="14"/>
      <c r="G118" s="14"/>
      <c r="H118" s="14">
        <f>'[1]Лист1'!$D$106-H117</f>
        <v>-43019798</v>
      </c>
      <c r="I118" s="14"/>
      <c r="J118" s="14">
        <v>178682</v>
      </c>
      <c r="K118" s="14">
        <f>'[1]Лист1'!$E$106-K117</f>
        <v>-2153512</v>
      </c>
      <c r="L118" s="14"/>
      <c r="M118" s="14">
        <v>38387</v>
      </c>
      <c r="N118" s="14"/>
      <c r="O118" s="14"/>
    </row>
    <row r="119" spans="3:16" ht="15.75">
      <c r="C119" s="13"/>
      <c r="D119" s="13"/>
      <c r="E119" s="13"/>
      <c r="F119" s="13"/>
      <c r="G119" s="13"/>
      <c r="H119" s="13"/>
      <c r="I119" s="13"/>
      <c r="J119" s="13"/>
      <c r="N119" s="13"/>
      <c r="O119" s="13"/>
      <c r="P119" s="18"/>
    </row>
    <row r="120" spans="2:8" ht="15.75" hidden="1">
      <c r="B120" s="3" t="s">
        <v>126</v>
      </c>
      <c r="C120" s="1">
        <f>2117980+60000</f>
        <v>2177980</v>
      </c>
      <c r="H120" s="1">
        <v>1993</v>
      </c>
    </row>
    <row r="121" spans="2:8" ht="15.75" hidden="1">
      <c r="B121" s="3" t="s">
        <v>128</v>
      </c>
      <c r="C121" s="1">
        <f>2235476+50000</f>
        <v>2285476</v>
      </c>
      <c r="H121" s="1">
        <v>790000</v>
      </c>
    </row>
    <row r="122" spans="2:8" ht="15.75" hidden="1">
      <c r="B122" s="3" t="s">
        <v>129</v>
      </c>
      <c r="C122" s="1">
        <f>1173514-700</f>
        <v>1172814</v>
      </c>
      <c r="H122" s="1">
        <v>35035</v>
      </c>
    </row>
    <row r="123" spans="2:8" ht="15.75" hidden="1">
      <c r="B123" s="3" t="s">
        <v>130</v>
      </c>
      <c r="C123" s="1">
        <f>5686273-230000-169000</f>
        <v>5287273</v>
      </c>
      <c r="H123" s="1">
        <v>331740</v>
      </c>
    </row>
    <row r="124" spans="2:8" ht="15.75" hidden="1">
      <c r="B124" s="3" t="s">
        <v>131</v>
      </c>
      <c r="C124" s="1">
        <f>922765+312125</f>
        <v>1234890</v>
      </c>
      <c r="H124" s="1">
        <f>-6000</f>
        <v>-6000</v>
      </c>
    </row>
    <row r="125" spans="2:8" ht="15.75" hidden="1">
      <c r="B125" s="3" t="s">
        <v>132</v>
      </c>
      <c r="C125" s="1">
        <f>12031487-2730+4938+18824+10000+1500</f>
        <v>12064019</v>
      </c>
      <c r="H125" s="1">
        <f>219707-6270-11830+18100</f>
        <v>219707</v>
      </c>
    </row>
    <row r="126" spans="2:8" ht="15.75" hidden="1">
      <c r="B126" s="3" t="s">
        <v>134</v>
      </c>
      <c r="C126" s="1">
        <v>31800</v>
      </c>
      <c r="H126" s="1">
        <v>80000</v>
      </c>
    </row>
    <row r="127" spans="2:8" ht="15.75" hidden="1">
      <c r="B127" s="3" t="s">
        <v>135</v>
      </c>
      <c r="C127" s="1">
        <f>750136-100000</f>
        <v>650136</v>
      </c>
      <c r="H127" s="1">
        <v>17000</v>
      </c>
    </row>
    <row r="128" spans="2:3" ht="15.75" hidden="1">
      <c r="B128" s="3" t="s">
        <v>136</v>
      </c>
      <c r="C128" s="1">
        <f>778754-45216+13538-129</f>
        <v>746947</v>
      </c>
    </row>
    <row r="129" spans="2:8" ht="15.75" hidden="1">
      <c r="B129" s="3" t="s">
        <v>127</v>
      </c>
      <c r="C129" s="1">
        <f>C114-C120-C121-C122-C123-C124-C125-C127-C126-C128</f>
        <v>15306518</v>
      </c>
      <c r="H129" s="1">
        <f>H114-H120-H121-H122-H123-H124-H125-H127-H126-H128</f>
        <v>38700138</v>
      </c>
    </row>
    <row r="130" spans="3:15" ht="15.75" hidden="1">
      <c r="C130" s="22">
        <v>38977376</v>
      </c>
      <c r="D130" s="22"/>
      <c r="E130" s="22"/>
      <c r="F130" s="22"/>
      <c r="G130" s="22"/>
      <c r="H130" s="22">
        <v>36882553</v>
      </c>
      <c r="I130" s="22"/>
      <c r="J130" s="22"/>
      <c r="K130" s="22">
        <v>40639042</v>
      </c>
      <c r="L130" s="27"/>
      <c r="M130" s="27"/>
      <c r="N130" s="22"/>
      <c r="O130" s="22"/>
    </row>
    <row r="131" spans="2:11" ht="15.75" hidden="1">
      <c r="B131" s="20" t="s">
        <v>139</v>
      </c>
      <c r="C131" s="1">
        <f>5983616+50000</f>
        <v>6033616</v>
      </c>
      <c r="H131" s="1">
        <v>6448904</v>
      </c>
      <c r="K131" s="1">
        <v>6750231</v>
      </c>
    </row>
    <row r="132" spans="2:11" ht="15.75" hidden="1">
      <c r="B132" s="20" t="s">
        <v>131</v>
      </c>
      <c r="C132" s="1">
        <f>883434+105085</f>
        <v>988519</v>
      </c>
      <c r="H132" s="1">
        <f>1123098+112391</f>
        <v>1235489</v>
      </c>
      <c r="K132" s="1">
        <f>1128658+116737</f>
        <v>1245395</v>
      </c>
    </row>
    <row r="133" spans="2:11" ht="15.75" hidden="1">
      <c r="B133" s="20" t="s">
        <v>138</v>
      </c>
      <c r="C133" s="1">
        <v>15056983</v>
      </c>
      <c r="H133" s="1">
        <v>16128504</v>
      </c>
      <c r="K133" s="1">
        <v>17242145</v>
      </c>
    </row>
    <row r="134" spans="2:11" ht="15.75" hidden="1">
      <c r="B134" s="20" t="s">
        <v>137</v>
      </c>
      <c r="C134" s="1">
        <f>2874105+8030+105300</f>
        <v>2987435</v>
      </c>
      <c r="H134" s="1">
        <f>2962246+8960</f>
        <v>2971206</v>
      </c>
      <c r="K134" s="1">
        <f>3148705+9880</f>
        <v>3158585</v>
      </c>
    </row>
    <row r="135" spans="2:11" ht="15.75" hidden="1">
      <c r="B135" s="20" t="s">
        <v>141</v>
      </c>
      <c r="C135" s="1">
        <v>4012335</v>
      </c>
      <c r="H135" s="1">
        <v>4163783</v>
      </c>
      <c r="K135" s="1">
        <v>4614001</v>
      </c>
    </row>
    <row r="136" spans="2:11" ht="15.75" hidden="1">
      <c r="B136" s="20" t="s">
        <v>220</v>
      </c>
      <c r="C136" s="1">
        <v>1319950</v>
      </c>
      <c r="H136" s="1">
        <v>1431331</v>
      </c>
      <c r="K136" s="1">
        <v>1490669</v>
      </c>
    </row>
    <row r="137" spans="2:11" ht="15.75" hidden="1">
      <c r="B137" s="20" t="s">
        <v>221</v>
      </c>
      <c r="C137" s="1">
        <v>946657</v>
      </c>
      <c r="H137" s="1">
        <v>1204960</v>
      </c>
      <c r="K137" s="1">
        <v>1343309</v>
      </c>
    </row>
    <row r="138" spans="2:11" ht="15.75" hidden="1">
      <c r="B138" s="20" t="s">
        <v>222</v>
      </c>
      <c r="C138" s="1">
        <v>910</v>
      </c>
      <c r="H138" s="1">
        <v>990</v>
      </c>
      <c r="K138" s="1">
        <v>990</v>
      </c>
    </row>
    <row r="139" spans="2:13" ht="15.75" hidden="1">
      <c r="B139" s="20" t="s">
        <v>223</v>
      </c>
      <c r="C139" s="1">
        <v>0</v>
      </c>
      <c r="H139" s="5">
        <v>899575</v>
      </c>
      <c r="I139" s="5"/>
      <c r="J139" s="5"/>
      <c r="K139" s="5">
        <v>1935193</v>
      </c>
      <c r="L139" s="28"/>
      <c r="M139" s="28"/>
    </row>
    <row r="140" spans="2:11" ht="15.75" hidden="1">
      <c r="B140" s="20" t="s">
        <v>217</v>
      </c>
      <c r="C140" s="1">
        <v>7630971</v>
      </c>
      <c r="H140" s="1">
        <f>2397811</f>
        <v>2397811</v>
      </c>
      <c r="K140" s="1">
        <f>2858524</f>
        <v>2858524</v>
      </c>
    </row>
    <row r="141" spans="2:15" ht="15.75" hidden="1">
      <c r="B141" s="20" t="s">
        <v>140</v>
      </c>
      <c r="C141" s="18">
        <f>SUM(C131:C140)</f>
        <v>38977376</v>
      </c>
      <c r="D141" s="18"/>
      <c r="E141" s="18"/>
      <c r="F141" s="18"/>
      <c r="G141" s="18"/>
      <c r="H141" s="18">
        <f>SUM(H131:H140)</f>
        <v>36882553</v>
      </c>
      <c r="I141" s="18"/>
      <c r="J141" s="18"/>
      <c r="K141" s="18">
        <f>SUM(K131:K140)</f>
        <v>40639042</v>
      </c>
      <c r="L141" s="18"/>
      <c r="M141" s="18"/>
      <c r="N141" s="18"/>
      <c r="O141" s="18"/>
    </row>
    <row r="142" spans="3:15" ht="15.75" hidden="1">
      <c r="C142" s="18">
        <f>C117-C141</f>
        <v>2805680</v>
      </c>
      <c r="D142" s="18"/>
      <c r="E142" s="18"/>
      <c r="F142" s="18"/>
      <c r="G142" s="18"/>
      <c r="H142" s="18">
        <f>H117-H141</f>
        <v>5218240</v>
      </c>
      <c r="I142" s="18"/>
      <c r="J142" s="18"/>
      <c r="K142" s="18">
        <f>K117-K141</f>
        <v>210000</v>
      </c>
      <c r="L142" s="18"/>
      <c r="M142" s="18"/>
      <c r="N142" s="18"/>
      <c r="O142" s="18"/>
    </row>
    <row r="143" spans="2:15" ht="15.75" hidden="1">
      <c r="B143" s="2" t="s">
        <v>225</v>
      </c>
      <c r="C143" s="18">
        <v>9289</v>
      </c>
      <c r="D143" s="18"/>
      <c r="E143" s="18"/>
      <c r="F143" s="18"/>
      <c r="G143" s="18"/>
      <c r="H143" s="18">
        <v>110486</v>
      </c>
      <c r="I143" s="18"/>
      <c r="J143" s="18"/>
      <c r="K143" s="18">
        <v>77464</v>
      </c>
      <c r="L143" s="18"/>
      <c r="M143" s="18"/>
      <c r="N143" s="18"/>
      <c r="O143" s="18"/>
    </row>
    <row r="144" spans="2:13" ht="15.75" hidden="1">
      <c r="B144" s="2" t="s">
        <v>226</v>
      </c>
      <c r="C144" s="1">
        <v>23900</v>
      </c>
      <c r="H144" s="1">
        <v>16211</v>
      </c>
      <c r="K144" s="18">
        <v>17378</v>
      </c>
      <c r="L144" s="18"/>
      <c r="M144" s="18"/>
    </row>
    <row r="145" spans="2:13" ht="15.75" hidden="1">
      <c r="B145" s="2" t="s">
        <v>228</v>
      </c>
      <c r="C145" s="1">
        <v>10097</v>
      </c>
      <c r="K145" s="18"/>
      <c r="L145" s="18"/>
      <c r="M145" s="18"/>
    </row>
    <row r="146" spans="2:13" ht="15.75" hidden="1">
      <c r="B146" s="3" t="s">
        <v>229</v>
      </c>
      <c r="C146" s="1">
        <f>70000+3500</f>
        <v>73500</v>
      </c>
      <c r="K146" s="18"/>
      <c r="L146" s="18"/>
      <c r="M146" s="18"/>
    </row>
    <row r="147" spans="2:13" ht="15.75" hidden="1">
      <c r="B147" s="3" t="s">
        <v>230</v>
      </c>
      <c r="C147" s="1">
        <f>35403+1843</f>
        <v>37246</v>
      </c>
      <c r="K147" s="18"/>
      <c r="L147" s="18"/>
      <c r="M147" s="18"/>
    </row>
    <row r="148" spans="2:13" ht="15.75" hidden="1">
      <c r="B148" s="3" t="s">
        <v>217</v>
      </c>
      <c r="C148" s="1">
        <v>1359680</v>
      </c>
      <c r="H148" s="1">
        <v>4238240</v>
      </c>
      <c r="K148" s="18"/>
      <c r="L148" s="18"/>
      <c r="M148" s="18"/>
    </row>
    <row r="149" spans="2:13" ht="15.75" hidden="1">
      <c r="B149" s="3" t="s">
        <v>231</v>
      </c>
      <c r="K149" s="18"/>
      <c r="L149" s="18"/>
      <c r="M149" s="18"/>
    </row>
    <row r="150" spans="2:15" ht="15.75" hidden="1">
      <c r="B150" s="3" t="s">
        <v>227</v>
      </c>
      <c r="C150" s="18">
        <f>C144+C143+C130+C145+C146+C147+C148</f>
        <v>40491088</v>
      </c>
      <c r="D150" s="18"/>
      <c r="E150" s="18"/>
      <c r="F150" s="18"/>
      <c r="G150" s="18"/>
      <c r="H150" s="18">
        <f>H144+H143+H130+H145+H146+H147+H148</f>
        <v>41247490</v>
      </c>
      <c r="I150" s="18"/>
      <c r="J150" s="18"/>
      <c r="K150" s="18">
        <f>K144+K143+K130+K145+K146+K147+K148</f>
        <v>40733884</v>
      </c>
      <c r="L150" s="18"/>
      <c r="M150" s="18"/>
      <c r="N150" s="18"/>
      <c r="O150" s="18"/>
    </row>
    <row r="151" spans="3:15" ht="15.75" hidden="1">
      <c r="C151" s="18">
        <f>C150-C117</f>
        <v>-1291968</v>
      </c>
      <c r="D151" s="18"/>
      <c r="E151" s="18"/>
      <c r="F151" s="18"/>
      <c r="G151" s="18"/>
      <c r="H151" s="18">
        <f>H150-H117</f>
        <v>-853303</v>
      </c>
      <c r="I151" s="18"/>
      <c r="J151" s="18"/>
      <c r="K151" s="18">
        <f>K150-K117</f>
        <v>-115158</v>
      </c>
      <c r="L151" s="18"/>
      <c r="M151" s="18"/>
      <c r="N151" s="18"/>
      <c r="O151" s="18"/>
    </row>
    <row r="152" ht="15.75" hidden="1"/>
    <row r="153" spans="8:11" ht="15.75" hidden="1">
      <c r="H153" s="1">
        <v>-135425</v>
      </c>
      <c r="K153" s="1">
        <v>-107757</v>
      </c>
    </row>
    <row r="154" spans="8:10" ht="15.75" hidden="1">
      <c r="H154" s="18">
        <f>H151-H153</f>
        <v>-717878</v>
      </c>
      <c r="I154" s="18"/>
      <c r="J154" s="18"/>
    </row>
    <row r="155" spans="3:14" ht="15.75" hidden="1">
      <c r="C155" s="29" t="s">
        <v>131</v>
      </c>
      <c r="D155" s="29">
        <f>-24568+17000</f>
        <v>-7568</v>
      </c>
      <c r="E155" s="1" t="s">
        <v>245</v>
      </c>
      <c r="F155" s="1">
        <v>-46600</v>
      </c>
      <c r="G155" s="1" t="s">
        <v>128</v>
      </c>
      <c r="N155" s="1">
        <v>-10000</v>
      </c>
    </row>
    <row r="156" spans="3:15" ht="15.75" hidden="1">
      <c r="C156" s="29" t="s">
        <v>220</v>
      </c>
      <c r="D156" s="29">
        <v>-56555</v>
      </c>
      <c r="E156" s="23" t="s">
        <v>246</v>
      </c>
      <c r="F156" s="23">
        <v>55000</v>
      </c>
      <c r="G156" s="29" t="s">
        <v>248</v>
      </c>
      <c r="H156" s="29"/>
      <c r="I156" s="29"/>
      <c r="J156" s="29"/>
      <c r="K156" s="29"/>
      <c r="L156" s="29"/>
      <c r="M156" s="29"/>
      <c r="N156" s="29">
        <v>-12000</v>
      </c>
      <c r="O156" s="23"/>
    </row>
    <row r="157" spans="3:14" ht="15.75" hidden="1">
      <c r="C157" s="29" t="s">
        <v>141</v>
      </c>
      <c r="D157" s="29">
        <v>-1354342</v>
      </c>
      <c r="E157" s="1" t="s">
        <v>138</v>
      </c>
      <c r="F157" s="1">
        <v>27000</v>
      </c>
      <c r="G157" s="1" t="s">
        <v>249</v>
      </c>
      <c r="N157" s="1">
        <v>22000</v>
      </c>
    </row>
    <row r="158" spans="2:15" ht="15.75" hidden="1">
      <c r="B158" s="24"/>
      <c r="C158" s="30" t="s">
        <v>237</v>
      </c>
      <c r="D158" s="30">
        <v>-369292</v>
      </c>
      <c r="E158" s="25" t="s">
        <v>139</v>
      </c>
      <c r="F158" s="25">
        <f>24000+600</f>
        <v>24600</v>
      </c>
      <c r="G158" s="25" t="s">
        <v>250</v>
      </c>
      <c r="H158" s="25"/>
      <c r="I158" s="25"/>
      <c r="J158" s="25"/>
      <c r="K158" s="25"/>
      <c r="L158" s="25"/>
      <c r="M158" s="25"/>
      <c r="N158" s="25">
        <v>464636</v>
      </c>
      <c r="O158" s="25"/>
    </row>
    <row r="159" spans="2:15" ht="15.75">
      <c r="B159" s="24"/>
      <c r="C159" s="31" t="s">
        <v>128</v>
      </c>
      <c r="D159" s="31">
        <f>21902-40000-53000</f>
        <v>-71098</v>
      </c>
      <c r="E159" s="26"/>
      <c r="F159" s="26">
        <f>SUM(F155:F158)</f>
        <v>60000</v>
      </c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2:15" ht="15.75">
      <c r="B160" s="24"/>
      <c r="C160" s="31" t="s">
        <v>238</v>
      </c>
      <c r="D160" s="31">
        <f>-100000</f>
        <v>-100000</v>
      </c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2:15" ht="15.75">
      <c r="B161" s="24"/>
      <c r="C161" s="31" t="s">
        <v>138</v>
      </c>
      <c r="D161" s="31">
        <f>-709821+40000</f>
        <v>-669821</v>
      </c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3:4" ht="15.75">
      <c r="C162" s="29" t="s">
        <v>239</v>
      </c>
      <c r="D162" s="29">
        <v>-394325</v>
      </c>
    </row>
    <row r="163" spans="3:4" ht="17.25" customHeight="1">
      <c r="C163" s="29" t="s">
        <v>240</v>
      </c>
      <c r="D163" s="29">
        <v>-64525</v>
      </c>
    </row>
    <row r="164" spans="3:4" ht="18" customHeight="1">
      <c r="C164" s="29" t="s">
        <v>140</v>
      </c>
      <c r="D164" s="29">
        <f>SUM(D155:D163)</f>
        <v>-3087526</v>
      </c>
    </row>
    <row r="165" spans="3:4" ht="15.75">
      <c r="C165" s="29"/>
      <c r="D165" s="32">
        <f>D117-D164</f>
        <v>0</v>
      </c>
    </row>
  </sheetData>
  <mergeCells count="10">
    <mergeCell ref="A1:O1"/>
    <mergeCell ref="A2:O2"/>
    <mergeCell ref="A3:O3"/>
    <mergeCell ref="A118:B118"/>
    <mergeCell ref="A114:B114"/>
    <mergeCell ref="A4:B4"/>
    <mergeCell ref="A117:B117"/>
    <mergeCell ref="A116:B116"/>
    <mergeCell ref="A115:B115"/>
    <mergeCell ref="A6:O6"/>
  </mergeCells>
  <printOptions horizontalCentered="1"/>
  <pageMargins left="0.15748031496062992" right="0.15748031496062992" top="0.7874015748031497" bottom="0.7874015748031497" header="0.3937007874015748" footer="0.1574803149606299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2009-01-26T10:54:21Z</cp:lastPrinted>
  <dcterms:created xsi:type="dcterms:W3CDTF">2004-11-13T08:03:22Z</dcterms:created>
  <dcterms:modified xsi:type="dcterms:W3CDTF">2009-01-30T08:44:24Z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